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- 16-04-2020/2024 Informacion www asotacgua.com/12 DICIEMBRE/Numeral 04/"/>
    </mc:Choice>
  </mc:AlternateContent>
  <xr:revisionPtr revIDLastSave="167" documentId="8_{DB25C29B-A4BA-4796-B376-BA2BABBA79D5}" xr6:coauthVersionLast="47" xr6:coauthVersionMax="47" xr10:uidLastSave="{4349731C-FB6D-40CF-992A-39A5D0389A7F}"/>
  <bookViews>
    <workbookView xWindow="-120" yWindow="-120" windowWidth="29040" windowHeight="15720" tabRatio="906" firstSheet="8" activeTab="10" xr2:uid="{00000000-000D-0000-FFFF-FFFF00000000}"/>
  </bookViews>
  <sheets>
    <sheet name="ENERO" sheetId="27" r:id="rId1"/>
    <sheet name="FEBRERO" sheetId="28" r:id="rId2"/>
    <sheet name="MARZO" sheetId="29" r:id="rId3"/>
    <sheet name="ABRIL 2024" sheetId="30" r:id="rId4"/>
    <sheet name="MAYO 2024" sheetId="31" r:id="rId5"/>
    <sheet name="JUNIO 2024 " sheetId="32" r:id="rId6"/>
    <sheet name="JULIO 2024 " sheetId="33" r:id="rId7"/>
    <sheet name="AGOSTO 2024 " sheetId="35" r:id="rId8"/>
    <sheet name="SEPTIEMBRE 2024" sheetId="37" r:id="rId9"/>
    <sheet name="OCTUBRE 2024" sheetId="38" r:id="rId10"/>
    <sheet name="NOVIEMBRE 2024" sheetId="39" r:id="rId11"/>
    <sheet name="DICIEMBRE 2024" sheetId="4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40" l="1"/>
  <c r="M27" i="40"/>
  <c r="M26" i="40"/>
  <c r="M25" i="40"/>
  <c r="M24" i="40"/>
  <c r="M22" i="40"/>
  <c r="M21" i="40"/>
  <c r="M20" i="40"/>
  <c r="M19" i="40"/>
  <c r="I25" i="40"/>
  <c r="I24" i="40"/>
  <c r="I21" i="40"/>
  <c r="M28" i="39"/>
  <c r="M27" i="39"/>
  <c r="M26" i="39"/>
  <c r="M25" i="39"/>
  <c r="M24" i="39"/>
  <c r="M23" i="39"/>
  <c r="M22" i="39"/>
  <c r="M21" i="39"/>
  <c r="I25" i="39"/>
  <c r="I24" i="39"/>
  <c r="M20" i="39"/>
  <c r="M19" i="39"/>
  <c r="M18" i="39"/>
  <c r="F28" i="40" l="1"/>
  <c r="L28" i="40" s="1"/>
  <c r="N28" i="40" s="1"/>
  <c r="F27" i="40"/>
  <c r="L27" i="40" s="1"/>
  <c r="N27" i="40" s="1"/>
  <c r="L26" i="40"/>
  <c r="N26" i="40" s="1"/>
  <c r="F26" i="40"/>
  <c r="F25" i="40"/>
  <c r="L25" i="40" s="1"/>
  <c r="N25" i="40" s="1"/>
  <c r="F24" i="40"/>
  <c r="L24" i="40" s="1"/>
  <c r="N24" i="40" s="1"/>
  <c r="L23" i="40"/>
  <c r="N23" i="40" s="1"/>
  <c r="F23" i="40"/>
  <c r="F22" i="40"/>
  <c r="L22" i="40" s="1"/>
  <c r="N22" i="40" s="1"/>
  <c r="A22" i="40"/>
  <c r="A23" i="40" s="1"/>
  <c r="A24" i="40" s="1"/>
  <c r="A25" i="40" s="1"/>
  <c r="A26" i="40" s="1"/>
  <c r="F21" i="40"/>
  <c r="L21" i="40" s="1"/>
  <c r="N21" i="40" s="1"/>
  <c r="A21" i="40"/>
  <c r="L20" i="40"/>
  <c r="N20" i="40" s="1"/>
  <c r="A20" i="40"/>
  <c r="F19" i="40"/>
  <c r="L19" i="40" s="1"/>
  <c r="N19" i="40" s="1"/>
  <c r="L18" i="40"/>
  <c r="N18" i="40" s="1"/>
  <c r="A14" i="40"/>
  <c r="A15" i="40" s="1"/>
  <c r="A16" i="40" s="1"/>
  <c r="A17" i="40" s="1"/>
  <c r="A18" i="40" s="1"/>
  <c r="A19" i="40" s="1"/>
  <c r="F28" i="39"/>
  <c r="L28" i="39" s="1"/>
  <c r="N28" i="39" s="1"/>
  <c r="L27" i="39"/>
  <c r="N27" i="39" s="1"/>
  <c r="F27" i="39"/>
  <c r="L26" i="39"/>
  <c r="N26" i="39" s="1"/>
  <c r="F26" i="39"/>
  <c r="F25" i="39"/>
  <c r="L25" i="39" s="1"/>
  <c r="N25" i="39" s="1"/>
  <c r="L24" i="39"/>
  <c r="N24" i="39" s="1"/>
  <c r="F24" i="39"/>
  <c r="F23" i="39"/>
  <c r="L23" i="39" s="1"/>
  <c r="N23" i="39" s="1"/>
  <c r="F22" i="39"/>
  <c r="L22" i="39" s="1"/>
  <c r="N22" i="39" s="1"/>
  <c r="A22" i="39"/>
  <c r="A23" i="39" s="1"/>
  <c r="A24" i="39" s="1"/>
  <c r="A25" i="39" s="1"/>
  <c r="A26" i="39" s="1"/>
  <c r="L21" i="39"/>
  <c r="N21" i="39" s="1"/>
  <c r="F21" i="39"/>
  <c r="A21" i="39"/>
  <c r="L20" i="39"/>
  <c r="N20" i="39" s="1"/>
  <c r="A20" i="39"/>
  <c r="F19" i="39"/>
  <c r="L19" i="39" s="1"/>
  <c r="N19" i="39" s="1"/>
  <c r="L18" i="39"/>
  <c r="N18" i="39" s="1"/>
  <c r="A14" i="39"/>
  <c r="A15" i="39" s="1"/>
  <c r="A16" i="39" s="1"/>
  <c r="A17" i="39" s="1"/>
  <c r="A18" i="39" s="1"/>
  <c r="A19" i="39" s="1"/>
  <c r="I25" i="38"/>
  <c r="I24" i="38"/>
  <c r="I21" i="38"/>
  <c r="M20" i="38"/>
  <c r="F28" i="38"/>
  <c r="L28" i="38" s="1"/>
  <c r="N28" i="38" s="1"/>
  <c r="F27" i="38"/>
  <c r="L27" i="38" s="1"/>
  <c r="N27" i="38" s="1"/>
  <c r="F26" i="38"/>
  <c r="L26" i="38" s="1"/>
  <c r="N26" i="38" s="1"/>
  <c r="F25" i="38"/>
  <c r="L25" i="38" s="1"/>
  <c r="N25" i="38" s="1"/>
  <c r="F24" i="38"/>
  <c r="F23" i="38"/>
  <c r="L23" i="38" s="1"/>
  <c r="N23" i="38" s="1"/>
  <c r="F22" i="38"/>
  <c r="L22" i="38" s="1"/>
  <c r="F21" i="38"/>
  <c r="L20" i="38"/>
  <c r="N20" i="38" s="1"/>
  <c r="F19" i="38"/>
  <c r="L19" i="38" s="1"/>
  <c r="N19" i="38" s="1"/>
  <c r="L18" i="38"/>
  <c r="N18" i="38" s="1"/>
  <c r="A14" i="38"/>
  <c r="A15" i="38" s="1"/>
  <c r="A16" i="38" s="1"/>
  <c r="A17" i="38" s="1"/>
  <c r="A18" i="38" s="1"/>
  <c r="A19" i="38" s="1"/>
  <c r="M29" i="37"/>
  <c r="M28" i="37"/>
  <c r="M26" i="37"/>
  <c r="M25" i="37"/>
  <c r="M24" i="37"/>
  <c r="M23" i="37"/>
  <c r="M20" i="37"/>
  <c r="J20" i="37"/>
  <c r="H21" i="37"/>
  <c r="L21" i="37" s="1"/>
  <c r="N21" i="37" s="1"/>
  <c r="H20" i="37"/>
  <c r="F21" i="37"/>
  <c r="F20" i="37"/>
  <c r="A21" i="37"/>
  <c r="L24" i="38" l="1"/>
  <c r="N24" i="38" s="1"/>
  <c r="L21" i="38"/>
  <c r="N21" i="38" s="1"/>
  <c r="N22" i="38"/>
  <c r="A20" i="38"/>
  <c r="A21" i="38"/>
  <c r="A22" i="38" s="1"/>
  <c r="A23" i="38" s="1"/>
  <c r="A24" i="38" s="1"/>
  <c r="A25" i="38" s="1"/>
  <c r="A26" i="38" s="1"/>
  <c r="F29" i="37"/>
  <c r="L29" i="37" s="1"/>
  <c r="N29" i="37" s="1"/>
  <c r="L28" i="37"/>
  <c r="N28" i="37" s="1"/>
  <c r="F28" i="37"/>
  <c r="F27" i="37"/>
  <c r="L27" i="37" s="1"/>
  <c r="N27" i="37" s="1"/>
  <c r="F26" i="37"/>
  <c r="L26" i="37" s="1"/>
  <c r="N26" i="37" s="1"/>
  <c r="F25" i="37"/>
  <c r="L25" i="37" s="1"/>
  <c r="N25" i="37" s="1"/>
  <c r="F24" i="37"/>
  <c r="L24" i="37" s="1"/>
  <c r="N24" i="37" s="1"/>
  <c r="L23" i="37"/>
  <c r="N23" i="37" s="1"/>
  <c r="F23" i="37"/>
  <c r="F22" i="37"/>
  <c r="L22" i="37" s="1"/>
  <c r="N22" i="37" s="1"/>
  <c r="L20" i="37"/>
  <c r="F19" i="37"/>
  <c r="L19" i="37" s="1"/>
  <c r="N19" i="37" s="1"/>
  <c r="L18" i="37"/>
  <c r="N18" i="37" s="1"/>
  <c r="A14" i="37"/>
  <c r="A15" i="37" s="1"/>
  <c r="A16" i="37" s="1"/>
  <c r="A17" i="37" s="1"/>
  <c r="A18" i="37" s="1"/>
  <c r="A19" i="37" s="1"/>
  <c r="A20" i="37" s="1"/>
  <c r="A22" i="37" s="1"/>
  <c r="A23" i="37" s="1"/>
  <c r="A24" i="37" s="1"/>
  <c r="A25" i="37" s="1"/>
  <c r="A26" i="37" s="1"/>
  <c r="A27" i="37" s="1"/>
  <c r="M20" i="35"/>
  <c r="N20" i="37" l="1"/>
  <c r="F28" i="35" l="1"/>
  <c r="L28" i="35" s="1"/>
  <c r="N28" i="35" s="1"/>
  <c r="F27" i="35"/>
  <c r="L27" i="35" s="1"/>
  <c r="N27" i="35" s="1"/>
  <c r="N26" i="35"/>
  <c r="L26" i="35"/>
  <c r="F26" i="35"/>
  <c r="F25" i="35"/>
  <c r="L25" i="35" s="1"/>
  <c r="N25" i="35" s="1"/>
  <c r="F24" i="35"/>
  <c r="L24" i="35" s="1"/>
  <c r="N24" i="35" s="1"/>
  <c r="N23" i="35"/>
  <c r="L23" i="35"/>
  <c r="F23" i="35"/>
  <c r="F22" i="35"/>
  <c r="L22" i="35" s="1"/>
  <c r="N22" i="35" s="1"/>
  <c r="F21" i="35"/>
  <c r="L21" i="35" s="1"/>
  <c r="N21" i="35" s="1"/>
  <c r="N20" i="35"/>
  <c r="L20" i="35"/>
  <c r="F20" i="35"/>
  <c r="F19" i="35"/>
  <c r="L19" i="35" s="1"/>
  <c r="N19" i="35" s="1"/>
  <c r="L18" i="35"/>
  <c r="N18" i="35" s="1"/>
  <c r="A14" i="35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F28" i="33" l="1"/>
  <c r="L28" i="33" s="1"/>
  <c r="N28" i="33" s="1"/>
  <c r="F27" i="33"/>
  <c r="L27" i="33" s="1"/>
  <c r="N27" i="33" s="1"/>
  <c r="F26" i="33"/>
  <c r="L26" i="33" s="1"/>
  <c r="N26" i="33" s="1"/>
  <c r="F25" i="33"/>
  <c r="L25" i="33" s="1"/>
  <c r="N25" i="33" s="1"/>
  <c r="F24" i="33"/>
  <c r="L24" i="33" s="1"/>
  <c r="N24" i="33" s="1"/>
  <c r="F23" i="33"/>
  <c r="L23" i="33" s="1"/>
  <c r="N23" i="33" s="1"/>
  <c r="F22" i="33"/>
  <c r="L22" i="33" s="1"/>
  <c r="N22" i="33" s="1"/>
  <c r="F21" i="33"/>
  <c r="L21" i="33" s="1"/>
  <c r="N21" i="33" s="1"/>
  <c r="M20" i="33"/>
  <c r="F20" i="33"/>
  <c r="L20" i="33" s="1"/>
  <c r="N20" i="33" s="1"/>
  <c r="F19" i="33"/>
  <c r="L19" i="33" s="1"/>
  <c r="N19" i="33" s="1"/>
  <c r="L18" i="33"/>
  <c r="N18" i="33" s="1"/>
  <c r="A14" i="33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M20" i="32"/>
  <c r="L28" i="32" l="1"/>
  <c r="N28" i="32" s="1"/>
  <c r="F28" i="32"/>
  <c r="L27" i="32"/>
  <c r="N27" i="32" s="1"/>
  <c r="F27" i="32"/>
  <c r="L26" i="32"/>
  <c r="N26" i="32" s="1"/>
  <c r="F26" i="32"/>
  <c r="L25" i="32"/>
  <c r="N25" i="32" s="1"/>
  <c r="F25" i="32"/>
  <c r="L24" i="32"/>
  <c r="N24" i="32" s="1"/>
  <c r="F24" i="32"/>
  <c r="L23" i="32"/>
  <c r="N23" i="32" s="1"/>
  <c r="F23" i="32"/>
  <c r="L22" i="32"/>
  <c r="N22" i="32" s="1"/>
  <c r="F22" i="32"/>
  <c r="L21" i="32"/>
  <c r="N21" i="32" s="1"/>
  <c r="F21" i="32"/>
  <c r="L20" i="32"/>
  <c r="N20" i="32" s="1"/>
  <c r="F20" i="32"/>
  <c r="L19" i="32"/>
  <c r="N19" i="32" s="1"/>
  <c r="F19" i="32"/>
  <c r="L18" i="32"/>
  <c r="N18" i="32" s="1"/>
  <c r="A14" i="32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M23" i="31"/>
  <c r="M20" i="31"/>
  <c r="M19" i="31"/>
  <c r="M18" i="31"/>
  <c r="M28" i="30"/>
  <c r="M27" i="30"/>
  <c r="M26" i="30"/>
  <c r="M25" i="30"/>
  <c r="M24" i="30"/>
  <c r="M23" i="30"/>
  <c r="M22" i="30"/>
  <c r="M21" i="30"/>
  <c r="M20" i="30"/>
  <c r="M19" i="30"/>
  <c r="M18" i="30"/>
  <c r="L28" i="31" l="1"/>
  <c r="N28" i="31" s="1"/>
  <c r="F28" i="31"/>
  <c r="F27" i="31"/>
  <c r="L27" i="31" s="1"/>
  <c r="N27" i="31" s="1"/>
  <c r="F26" i="31"/>
  <c r="L26" i="31" s="1"/>
  <c r="N26" i="31" s="1"/>
  <c r="L25" i="31"/>
  <c r="N25" i="31" s="1"/>
  <c r="F25" i="31"/>
  <c r="F24" i="31"/>
  <c r="L24" i="31" s="1"/>
  <c r="N24" i="31" s="1"/>
  <c r="F23" i="31"/>
  <c r="L23" i="31" s="1"/>
  <c r="N23" i="31" s="1"/>
  <c r="L22" i="31"/>
  <c r="N22" i="31" s="1"/>
  <c r="F22" i="31"/>
  <c r="F21" i="31"/>
  <c r="L21" i="31" s="1"/>
  <c r="N21" i="31" s="1"/>
  <c r="F20" i="31"/>
  <c r="L20" i="31" s="1"/>
  <c r="N20" i="31" s="1"/>
  <c r="L19" i="31"/>
  <c r="N19" i="31" s="1"/>
  <c r="F19" i="31"/>
  <c r="L18" i="31"/>
  <c r="N18" i="31" s="1"/>
  <c r="A14" i="3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L28" i="30"/>
  <c r="N28" i="30" s="1"/>
  <c r="F28" i="30"/>
  <c r="L27" i="30"/>
  <c r="N27" i="30" s="1"/>
  <c r="F27" i="30"/>
  <c r="L26" i="30"/>
  <c r="N26" i="30" s="1"/>
  <c r="F26" i="30"/>
  <c r="L25" i="30"/>
  <c r="N25" i="30" s="1"/>
  <c r="F25" i="30"/>
  <c r="L24" i="30"/>
  <c r="N24" i="30" s="1"/>
  <c r="F24" i="30"/>
  <c r="L23" i="30"/>
  <c r="N23" i="30" s="1"/>
  <c r="F23" i="30"/>
  <c r="L22" i="30"/>
  <c r="N22" i="30" s="1"/>
  <c r="F22" i="30"/>
  <c r="L21" i="30"/>
  <c r="N21" i="30" s="1"/>
  <c r="F21" i="30"/>
  <c r="L20" i="30"/>
  <c r="N20" i="30" s="1"/>
  <c r="F20" i="30"/>
  <c r="L19" i="30"/>
  <c r="N19" i="30" s="1"/>
  <c r="F19" i="30"/>
  <c r="L18" i="30"/>
  <c r="N18" i="30" s="1"/>
  <c r="A15" i="30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14" i="30"/>
  <c r="N19" i="29"/>
  <c r="N18" i="29"/>
  <c r="F28" i="29" l="1"/>
  <c r="L28" i="29" s="1"/>
  <c r="N28" i="29" s="1"/>
  <c r="F27" i="29"/>
  <c r="L27" i="29" s="1"/>
  <c r="N27" i="29" s="1"/>
  <c r="F26" i="29"/>
  <c r="L26" i="29" s="1"/>
  <c r="N26" i="29" s="1"/>
  <c r="L25" i="29"/>
  <c r="N25" i="29" s="1"/>
  <c r="F25" i="29"/>
  <c r="F24" i="29"/>
  <c r="L24" i="29" s="1"/>
  <c r="N24" i="29" s="1"/>
  <c r="F23" i="29"/>
  <c r="L23" i="29" s="1"/>
  <c r="N23" i="29" s="1"/>
  <c r="L22" i="29"/>
  <c r="N22" i="29" s="1"/>
  <c r="F22" i="29"/>
  <c r="F21" i="29"/>
  <c r="L21" i="29" s="1"/>
  <c r="N21" i="29" s="1"/>
  <c r="L20" i="29"/>
  <c r="N20" i="29" s="1"/>
  <c r="F20" i="29"/>
  <c r="L19" i="29"/>
  <c r="F19" i="29"/>
  <c r="L18" i="29"/>
  <c r="A14" i="29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N28" i="28"/>
  <c r="N27" i="28"/>
  <c r="N26" i="28"/>
  <c r="N25" i="28"/>
  <c r="N24" i="28"/>
  <c r="N23" i="28"/>
  <c r="N22" i="28"/>
  <c r="N21" i="28"/>
  <c r="N20" i="28"/>
  <c r="N19" i="28"/>
  <c r="N18" i="28"/>
  <c r="F28" i="28"/>
  <c r="F27" i="28"/>
  <c r="F26" i="28"/>
  <c r="F25" i="28"/>
  <c r="F24" i="28"/>
  <c r="F23" i="28"/>
  <c r="F22" i="28"/>
  <c r="F21" i="28"/>
  <c r="F20" i="28"/>
  <c r="F19" i="28"/>
  <c r="L19" i="28" s="1"/>
  <c r="L28" i="28"/>
  <c r="L27" i="28"/>
  <c r="L26" i="28"/>
  <c r="L25" i="28"/>
  <c r="L24" i="28"/>
  <c r="L23" i="28"/>
  <c r="L22" i="28"/>
  <c r="L21" i="28"/>
  <c r="L20" i="28"/>
  <c r="L18" i="28"/>
  <c r="A14" i="28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M27" i="27"/>
  <c r="M28" i="27"/>
  <c r="M26" i="27" l="1"/>
  <c r="M25" i="27"/>
  <c r="M24" i="27"/>
  <c r="M23" i="27"/>
  <c r="M22" i="27"/>
  <c r="M19" i="27" l="1"/>
  <c r="M20" i="27"/>
  <c r="M21" i="27"/>
  <c r="L28" i="27" l="1"/>
  <c r="N28" i="27" s="1"/>
  <c r="L27" i="27"/>
  <c r="N27" i="27" s="1"/>
  <c r="L26" i="27"/>
  <c r="N26" i="27" s="1"/>
  <c r="L25" i="27"/>
  <c r="L24" i="27"/>
  <c r="L23" i="27"/>
  <c r="L22" i="27"/>
  <c r="L21" i="27"/>
  <c r="N21" i="27" s="1"/>
  <c r="L20" i="27"/>
  <c r="N20" i="27" s="1"/>
  <c r="L19" i="27"/>
  <c r="L18" i="27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N24" i="27" l="1"/>
  <c r="N18" i="27"/>
  <c r="N25" i="27"/>
  <c r="N23" i="27"/>
  <c r="N22" i="27"/>
  <c r="N19" i="27"/>
</calcChain>
</file>

<file path=xl/sharedStrings.xml><?xml version="1.0" encoding="utf-8"?>
<sst xmlns="http://schemas.openxmlformats.org/spreadsheetml/2006/main" count="1098" uniqueCount="76">
  <si>
    <t>Gerente</t>
  </si>
  <si>
    <t>Secretaria</t>
  </si>
  <si>
    <t>Auxiliar Financiera</t>
  </si>
  <si>
    <t>Auxiliar Administrativo</t>
  </si>
  <si>
    <t xml:space="preserve">Entrenador </t>
  </si>
  <si>
    <t>Auxiliar de Polígonos</t>
  </si>
  <si>
    <t>Alexander Ottoniel Gutiérrez Galindo</t>
  </si>
  <si>
    <t>011</t>
  </si>
  <si>
    <t>Funcionarios, Servidores Públicos, Empleados y Asesores</t>
  </si>
  <si>
    <t>Evelyn Briseyda                                     Patzán Alay</t>
  </si>
  <si>
    <t>Erasmo Catarino                                     López Maldonado</t>
  </si>
  <si>
    <t>Raúl                                     Pineda Mijangos</t>
  </si>
  <si>
    <t>Toribio De Jesús                                     Del Cid Estrada</t>
  </si>
  <si>
    <t>Asesor en materia Administrativa y Financiera</t>
  </si>
  <si>
    <t>(Artículo 10, numeral 4 Ley de Acceso a la Información Pública)</t>
  </si>
  <si>
    <t>No se erogan gastos por Dietas</t>
  </si>
  <si>
    <t>Ad Honórem</t>
  </si>
  <si>
    <t>Vocal I Comité Ejecutivo</t>
  </si>
  <si>
    <t>Vocal II Comité Ejecutivo</t>
  </si>
  <si>
    <t xml:space="preserve">No. </t>
  </si>
  <si>
    <t>RENGLÓN</t>
  </si>
  <si>
    <t>Empleado/
Servidor Público</t>
  </si>
  <si>
    <t>CARGO/ SERVICIOS PRESTADOS</t>
  </si>
  <si>
    <t>DEPENDENCIA</t>
  </si>
  <si>
    <t>BONIFICACIÓN PROFESIONAL</t>
  </si>
  <si>
    <t>HONORARIOS</t>
  </si>
  <si>
    <t xml:space="preserve">TOTAL 
INGRESO
</t>
  </si>
  <si>
    <t>TOTAL
DESCUENTOS</t>
  </si>
  <si>
    <t>LÍQUIDO</t>
  </si>
  <si>
    <t>OTRAS REMUNERACIONES
ECONÓMICAS</t>
  </si>
  <si>
    <t>MONTO 
VIÁTICOS</t>
  </si>
  <si>
    <t>NOMBRES 
Y APELLIDOS</t>
  </si>
  <si>
    <t>ASOTAC</t>
  </si>
  <si>
    <t>SUELDO
BASE</t>
  </si>
  <si>
    <t>HORAS
EXTRAS</t>
  </si>
  <si>
    <t>BONO PRODUCTIVIDAD</t>
  </si>
  <si>
    <t>BONO
MENSUAL</t>
  </si>
  <si>
    <t>GASTOS DE BOLSILLO</t>
  </si>
  <si>
    <t>Coordinador Técnico</t>
  </si>
  <si>
    <t>Elmer Arturo Ventura</t>
  </si>
  <si>
    <t>Coordinador Administrativo Financiero</t>
  </si>
  <si>
    <t>Juan Fernando Vega Silva</t>
  </si>
  <si>
    <t>Jenifer Eunice Queche Velasquez</t>
  </si>
  <si>
    <t>Ulysses Rober Dent Davila</t>
  </si>
  <si>
    <t>Edwin Ernesto Paredes Soria</t>
  </si>
  <si>
    <t>Evelicio Hernandez Gonzalez</t>
  </si>
  <si>
    <t>Encargado de Poligonos</t>
  </si>
  <si>
    <t>Carlos Arturo Padilla Coronado</t>
  </si>
  <si>
    <t>Entrenador Nacional de Skeet</t>
  </si>
  <si>
    <t>Mensajero</t>
  </si>
  <si>
    <t>Cristian Diego Bermudez Ape</t>
  </si>
  <si>
    <t>Presidente Interino Comité Ejecutivo</t>
  </si>
  <si>
    <t>Juan Ramon Schaeffer Samayoa</t>
  </si>
  <si>
    <t>Tesorero Interino Comité Ejecutivo</t>
  </si>
  <si>
    <t>Juan Carlos Romero Arribas</t>
  </si>
  <si>
    <t>Secretario Interino Comité Ejecutivo</t>
  </si>
  <si>
    <t>Maria de los Angeles Salazar Grijalva</t>
  </si>
  <si>
    <t>Información correspondientes a Enero 2024</t>
  </si>
  <si>
    <t>Vigente Período 2024</t>
  </si>
  <si>
    <t>Información correspondientes a Febrero 2024</t>
  </si>
  <si>
    <t>Información correspondientes a Marzo 2024</t>
  </si>
  <si>
    <t>Información correspondientes a Abril 2024</t>
  </si>
  <si>
    <t>Información correspondientes a Mayo 2024</t>
  </si>
  <si>
    <t>Información correspondientes a Junio 2024</t>
  </si>
  <si>
    <t>Información correspondientes a Julio 2024</t>
  </si>
  <si>
    <t xml:space="preserve"> David  Alejandro                                    Contreras Giron</t>
  </si>
  <si>
    <t>Juan Luis Rodriguez Gonzalez</t>
  </si>
  <si>
    <t>Asesoria Juridica y Legal</t>
  </si>
  <si>
    <t>Información correspondientes Agosto 2024</t>
  </si>
  <si>
    <t>Alex Daniel Soto López</t>
  </si>
  <si>
    <t>Información correspondientes Septiembre 2024</t>
  </si>
  <si>
    <t>Alta 16/9/24</t>
  </si>
  <si>
    <t>Baja 15/6/24</t>
  </si>
  <si>
    <t>Información correspondientes Octubre 2024</t>
  </si>
  <si>
    <t>Información correspondientes Diciembre 2024</t>
  </si>
  <si>
    <t>Información correspondientes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</si>
</sst>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Continuous"/>
    </xf>
    <xf numFmtId="41" fontId="5" fillId="0" borderId="0" xfId="1" applyNumberFormat="1" applyFont="1" applyAlignment="1">
      <alignment horizontal="centerContinuous"/>
    </xf>
    <xf numFmtId="41" fontId="0" fillId="0" borderId="0" xfId="1" applyNumberFormat="1" applyFont="1" applyAlignment="1">
      <alignment horizontal="centerContinuous"/>
    </xf>
    <xf numFmtId="44" fontId="1" fillId="3" borderId="0" xfId="1" quotePrefix="1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/>
    </xf>
    <xf numFmtId="43" fontId="0" fillId="0" borderId="1" xfId="1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Continuous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4" fontId="1" fillId="0" borderId="0" xfId="1" quotePrefix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horizontal="centerContinuous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0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E34AC489-E217-4A7F-8F2C-52C6DF82D1C8}"/>
  </tableStyles>
  <colors>
    <mruColors>
      <color rgb="FFECECEC"/>
      <color rgb="FFE3E2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6DF1D-7522-4C3E-AF96-0E290A20C6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499BAF-DA1E-4A2A-9F72-ED503915C1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8EE4C-E34E-4420-BAA5-AA191746EB5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B7F7E5-F8B9-4433-9213-EA422A3B8E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21ECFE-7EA7-4327-847A-77330AF962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1C75E1-2A6E-4DD7-BA23-B84CBB9FD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2AA0E0-446F-4D00-86C4-F1930C1CD68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42559C-A0EC-4E3E-90BF-51FECA8328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418A52-1DAC-47B1-8E56-0BE3EFDCA7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6164C1-66A2-4FFE-9224-DFEBEDED833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1FF845-7677-4AC7-8DF9-CA0FA31228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E11963-1A40-4F8E-98BA-2B5555473B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7850-9307-4811-8E1B-A0C14BEC9F78}">
  <dimension ref="A1:P36"/>
  <sheetViews>
    <sheetView showGridLines="0" zoomScale="85" zoomScaleNormal="85" workbookViewId="0">
      <selection activeCell="C29" sqref="C29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57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6" t="s">
        <v>19</v>
      </c>
      <c r="B11" s="27" t="s">
        <v>20</v>
      </c>
      <c r="C11" s="19" t="s">
        <v>21</v>
      </c>
      <c r="D11" s="28" t="s">
        <v>22</v>
      </c>
      <c r="E11" s="29" t="s">
        <v>23</v>
      </c>
      <c r="F11" s="26" t="s">
        <v>33</v>
      </c>
      <c r="G11" s="26" t="s">
        <v>34</v>
      </c>
      <c r="H11" s="26" t="s">
        <v>36</v>
      </c>
      <c r="I11" s="26" t="s">
        <v>35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31" t="s">
        <v>29</v>
      </c>
      <c r="P11" s="32"/>
    </row>
    <row r="12" spans="1:16" ht="48" customHeight="1" x14ac:dyDescent="0.25">
      <c r="A12" s="26"/>
      <c r="B12" s="27"/>
      <c r="C12" s="19" t="s">
        <v>31</v>
      </c>
      <c r="D12" s="28"/>
      <c r="E12" s="30"/>
      <c r="F12" s="26"/>
      <c r="G12" s="26"/>
      <c r="H12" s="26"/>
      <c r="I12" s="27"/>
      <c r="J12" s="26"/>
      <c r="K12" s="27"/>
      <c r="L12" s="27"/>
      <c r="M12" s="27"/>
      <c r="N12" s="27"/>
      <c r="O12" s="18" t="s">
        <v>30</v>
      </c>
      <c r="P12" s="18" t="s">
        <v>37</v>
      </c>
    </row>
    <row r="13" spans="1:16" ht="30" customHeight="1" x14ac:dyDescent="0.25">
      <c r="A13" s="1">
        <v>1</v>
      </c>
      <c r="B13" s="16" t="s">
        <v>16</v>
      </c>
      <c r="C13" s="8" t="s">
        <v>50</v>
      </c>
      <c r="D13" s="1" t="s">
        <v>51</v>
      </c>
      <c r="E13" s="2" t="s">
        <v>32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52</v>
      </c>
      <c r="D14" s="1" t="s">
        <v>53</v>
      </c>
      <c r="E14" s="2" t="s">
        <v>32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16</v>
      </c>
      <c r="C15" s="9" t="s">
        <v>54</v>
      </c>
      <c r="D15" s="1" t="s">
        <v>55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16</v>
      </c>
      <c r="C16" s="9" t="s">
        <v>43</v>
      </c>
      <c r="D16" s="1" t="s">
        <v>17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16</v>
      </c>
      <c r="C17" s="9" t="s">
        <v>44</v>
      </c>
      <c r="D17" s="1" t="s">
        <v>18</v>
      </c>
      <c r="E17" s="2" t="s">
        <v>32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56</v>
      </c>
      <c r="D18" s="1" t="s">
        <v>0</v>
      </c>
      <c r="E18" s="2" t="s">
        <v>32</v>
      </c>
      <c r="F18" s="15">
        <v>3500</v>
      </c>
      <c r="G18" s="15">
        <v>0</v>
      </c>
      <c r="H18" s="15">
        <v>2250</v>
      </c>
      <c r="I18" s="15"/>
      <c r="J18" s="15">
        <v>0</v>
      </c>
      <c r="K18" s="15"/>
      <c r="L18" s="15">
        <f>SUM(F18:K18)</f>
        <v>5750</v>
      </c>
      <c r="M18" s="15">
        <v>169.05</v>
      </c>
      <c r="N18" s="15">
        <f t="shared" ref="N18:N28" si="1">+L18-M18</f>
        <v>5580.95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38</v>
      </c>
      <c r="E19" s="2" t="s">
        <v>32</v>
      </c>
      <c r="F19" s="15">
        <v>10966</v>
      </c>
      <c r="G19" s="15"/>
      <c r="H19" s="15">
        <v>1550</v>
      </c>
      <c r="I19" s="15">
        <v>0</v>
      </c>
      <c r="J19" s="15">
        <v>375</v>
      </c>
      <c r="K19" s="15"/>
      <c r="L19" s="15">
        <f t="shared" ref="L19:L28" si="2">SUM(F19:K19)</f>
        <v>12891</v>
      </c>
      <c r="M19" s="15">
        <f>529.66+471.81+150</f>
        <v>1151.47</v>
      </c>
      <c r="N19" s="15">
        <f t="shared" si="1"/>
        <v>11739.53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39</v>
      </c>
      <c r="D20" s="8" t="s">
        <v>40</v>
      </c>
      <c r="E20" s="2" t="s">
        <v>32</v>
      </c>
      <c r="F20" s="15">
        <v>7500</v>
      </c>
      <c r="G20" s="15"/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362.25+126+260.92+100</f>
        <v>849.17000000000007</v>
      </c>
      <c r="N20" s="15">
        <f t="shared" si="1"/>
        <v>8525.83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9</v>
      </c>
      <c r="D21" s="1" t="s">
        <v>2</v>
      </c>
      <c r="E21" s="2" t="s">
        <v>32</v>
      </c>
      <c r="F21" s="15">
        <v>4243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204.94+84.58+116.49+50</f>
        <v>456.01</v>
      </c>
      <c r="N21" s="15">
        <f t="shared" si="1"/>
        <v>5836.99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41</v>
      </c>
      <c r="D22" s="1" t="s">
        <v>3</v>
      </c>
      <c r="E22" s="2" t="s">
        <v>32</v>
      </c>
      <c r="F22" s="15">
        <v>3384.59</v>
      </c>
      <c r="G22" s="15"/>
      <c r="H22" s="15">
        <v>1550</v>
      </c>
      <c r="I22" s="15">
        <v>0</v>
      </c>
      <c r="J22" s="15">
        <v>0</v>
      </c>
      <c r="K22" s="15"/>
      <c r="L22" s="15">
        <f t="shared" si="2"/>
        <v>4934.59</v>
      </c>
      <c r="M22" s="15">
        <f>163.48+42.39+66.32+50</f>
        <v>322.19</v>
      </c>
      <c r="N22" s="15">
        <f>+L22-M22</f>
        <v>4612.4000000000005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42</v>
      </c>
      <c r="D23" s="1" t="s">
        <v>1</v>
      </c>
      <c r="E23" s="2" t="s">
        <v>32</v>
      </c>
      <c r="F23" s="15">
        <v>3531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2"/>
        <v>5081</v>
      </c>
      <c r="M23" s="15">
        <f>170.55+58.17+50</f>
        <v>278.72000000000003</v>
      </c>
      <c r="N23" s="15">
        <f t="shared" si="1"/>
        <v>4802.28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10</v>
      </c>
      <c r="D24" s="1" t="s">
        <v>49</v>
      </c>
      <c r="E24" s="2" t="s">
        <v>32</v>
      </c>
      <c r="F24" s="15">
        <v>5697</v>
      </c>
      <c r="G24" s="15"/>
      <c r="H24" s="15">
        <v>1800</v>
      </c>
      <c r="I24" s="15">
        <v>500</v>
      </c>
      <c r="J24" s="15"/>
      <c r="K24" s="15"/>
      <c r="L24" s="15">
        <f>SUM(F24:K24)</f>
        <v>7997</v>
      </c>
      <c r="M24" s="15">
        <f>275.17+216.41+50</f>
        <v>541.58000000000004</v>
      </c>
      <c r="N24" s="15">
        <f t="shared" si="1"/>
        <v>7455.42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11</v>
      </c>
      <c r="D25" s="1" t="s">
        <v>4</v>
      </c>
      <c r="E25" s="2" t="s">
        <v>32</v>
      </c>
      <c r="F25" s="15">
        <v>7392</v>
      </c>
      <c r="G25" s="15"/>
      <c r="H25" s="15">
        <v>2300</v>
      </c>
      <c r="I25" s="15">
        <v>500</v>
      </c>
      <c r="J25" s="15"/>
      <c r="K25" s="15"/>
      <c r="L25" s="15">
        <f t="shared" si="2"/>
        <v>10192</v>
      </c>
      <c r="M25" s="15">
        <f>357.03+338.4+75</f>
        <v>770.43</v>
      </c>
      <c r="N25" s="15">
        <f t="shared" si="1"/>
        <v>9421.57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7</v>
      </c>
      <c r="C26" s="8" t="s">
        <v>47</v>
      </c>
      <c r="D26" s="1" t="s">
        <v>48</v>
      </c>
      <c r="E26" s="2" t="s">
        <v>32</v>
      </c>
      <c r="F26" s="15">
        <v>6750</v>
      </c>
      <c r="G26" s="15"/>
      <c r="H26" s="15">
        <v>250</v>
      </c>
      <c r="I26" s="15">
        <v>0</v>
      </c>
      <c r="J26" s="15"/>
      <c r="K26" s="15"/>
      <c r="L26" s="15">
        <f t="shared" si="2"/>
        <v>7000</v>
      </c>
      <c r="M26" s="15">
        <f>326.02+161.44+75</f>
        <v>562.46</v>
      </c>
      <c r="N26" s="15">
        <f t="shared" si="1"/>
        <v>6437.54</v>
      </c>
      <c r="O26" s="15"/>
      <c r="P26" s="15"/>
    </row>
    <row r="27" spans="1:16" ht="30" customHeight="1" x14ac:dyDescent="0.25">
      <c r="A27" s="1">
        <v>15</v>
      </c>
      <c r="B27" s="2" t="s">
        <v>7</v>
      </c>
      <c r="C27" s="8" t="s">
        <v>12</v>
      </c>
      <c r="D27" s="1" t="s">
        <v>5</v>
      </c>
      <c r="E27" s="2" t="s">
        <v>32</v>
      </c>
      <c r="F27" s="15">
        <v>3384.59</v>
      </c>
      <c r="G27" s="15"/>
      <c r="H27" s="15">
        <v>1550</v>
      </c>
      <c r="I27" s="15">
        <v>0</v>
      </c>
      <c r="J27" s="15"/>
      <c r="K27" s="15"/>
      <c r="L27" s="15">
        <f t="shared" si="2"/>
        <v>4934.59</v>
      </c>
      <c r="M27" s="15">
        <f>163.48+35.58+50</f>
        <v>249.06</v>
      </c>
      <c r="N27" s="15">
        <f t="shared" si="1"/>
        <v>4685.53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45</v>
      </c>
      <c r="D28" s="1" t="s">
        <v>46</v>
      </c>
      <c r="E28" s="2" t="s">
        <v>32</v>
      </c>
      <c r="F28" s="15">
        <v>3384.59</v>
      </c>
      <c r="G28" s="15"/>
      <c r="H28" s="15">
        <v>1449</v>
      </c>
      <c r="I28" s="15"/>
      <c r="J28" s="15"/>
      <c r="K28" s="15"/>
      <c r="L28" s="15">
        <f t="shared" si="2"/>
        <v>4833.59</v>
      </c>
      <c r="M28" s="15">
        <f>116.48+32.63+50</f>
        <v>199.11</v>
      </c>
      <c r="N28" s="15">
        <f t="shared" si="1"/>
        <v>4634.4800000000005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65</v>
      </c>
      <c r="D29" s="8" t="s">
        <v>13</v>
      </c>
      <c r="E29" s="2" t="s">
        <v>32</v>
      </c>
      <c r="F29" s="15">
        <v>4500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/>
      <c r="D30" s="1"/>
      <c r="E30" s="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91BA-2649-467A-A496-00F85933AF9A}">
  <dimension ref="A1:P36"/>
  <sheetViews>
    <sheetView showGridLines="0" topLeftCell="A5" zoomScale="85" zoomScaleNormal="85" workbookViewId="0">
      <selection activeCell="M11" sqref="M11:M12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22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22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22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22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22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22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22"/>
      <c r="N7" s="10"/>
      <c r="O7" s="10"/>
      <c r="P7" s="10"/>
    </row>
    <row r="8" spans="1:16" ht="18.75" x14ac:dyDescent="0.3">
      <c r="A8" s="10" t="s">
        <v>59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22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23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23"/>
    </row>
    <row r="11" spans="1:16" ht="30" customHeight="1" x14ac:dyDescent="0.25">
      <c r="A11" s="26" t="s">
        <v>19</v>
      </c>
      <c r="B11" s="27" t="s">
        <v>20</v>
      </c>
      <c r="C11" s="19" t="s">
        <v>21</v>
      </c>
      <c r="D11" s="28" t="s">
        <v>22</v>
      </c>
      <c r="E11" s="29" t="s">
        <v>23</v>
      </c>
      <c r="F11" s="26" t="s">
        <v>33</v>
      </c>
      <c r="G11" s="26" t="s">
        <v>34</v>
      </c>
      <c r="H11" s="26" t="s">
        <v>36</v>
      </c>
      <c r="I11" s="26" t="s">
        <v>35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31" t="s">
        <v>29</v>
      </c>
      <c r="P11" s="32"/>
    </row>
    <row r="12" spans="1:16" ht="48" customHeight="1" x14ac:dyDescent="0.25">
      <c r="A12" s="26"/>
      <c r="B12" s="27"/>
      <c r="C12" s="19" t="s">
        <v>31</v>
      </c>
      <c r="D12" s="28"/>
      <c r="E12" s="30"/>
      <c r="F12" s="26"/>
      <c r="G12" s="26"/>
      <c r="H12" s="26"/>
      <c r="I12" s="27"/>
      <c r="J12" s="26"/>
      <c r="K12" s="27"/>
      <c r="L12" s="27"/>
      <c r="M12" s="27"/>
      <c r="N12" s="27"/>
      <c r="O12" s="18" t="s">
        <v>30</v>
      </c>
      <c r="P12" s="18" t="s">
        <v>37</v>
      </c>
    </row>
    <row r="13" spans="1:16" ht="30" customHeight="1" x14ac:dyDescent="0.25">
      <c r="A13" s="1">
        <v>1</v>
      </c>
      <c r="B13" s="16" t="s">
        <v>16</v>
      </c>
      <c r="C13" s="8" t="s">
        <v>50</v>
      </c>
      <c r="D13" s="1" t="s">
        <v>51</v>
      </c>
      <c r="E13" s="2" t="s">
        <v>32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52</v>
      </c>
      <c r="D14" s="1" t="s">
        <v>53</v>
      </c>
      <c r="E14" s="2" t="s">
        <v>32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16</v>
      </c>
      <c r="C15" s="9" t="s">
        <v>54</v>
      </c>
      <c r="D15" s="1" t="s">
        <v>55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16</v>
      </c>
      <c r="C16" s="9" t="s">
        <v>43</v>
      </c>
      <c r="D16" s="1" t="s">
        <v>17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16</v>
      </c>
      <c r="C17" s="9" t="s">
        <v>44</v>
      </c>
      <c r="D17" s="1" t="s">
        <v>18</v>
      </c>
      <c r="E17" s="2" t="s">
        <v>32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56</v>
      </c>
      <c r="D18" s="1" t="s">
        <v>0</v>
      </c>
      <c r="E18" s="2" t="s">
        <v>32</v>
      </c>
      <c r="F18" s="15">
        <v>8025</v>
      </c>
      <c r="G18" s="15">
        <v>0</v>
      </c>
      <c r="H18" s="15">
        <v>2250</v>
      </c>
      <c r="I18" s="15"/>
      <c r="J18" s="15">
        <v>0</v>
      </c>
      <c r="K18" s="15"/>
      <c r="L18" s="15">
        <f>SUM(F18:K18)</f>
        <v>10275</v>
      </c>
      <c r="M18" s="15">
        <v>496.28</v>
      </c>
      <c r="N18" s="15">
        <f>+L18-M18</f>
        <v>9778.7199999999993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38</v>
      </c>
      <c r="E19" s="2" t="s">
        <v>32</v>
      </c>
      <c r="F19" s="15">
        <f>10966+767.62</f>
        <v>11733.62</v>
      </c>
      <c r="G19" s="15"/>
      <c r="H19" s="15">
        <v>1550</v>
      </c>
      <c r="I19" s="15">
        <v>0</v>
      </c>
      <c r="J19" s="15">
        <v>375</v>
      </c>
      <c r="K19" s="15"/>
      <c r="L19" s="15">
        <f t="shared" ref="L19:L28" si="1">SUM(F19:K19)</f>
        <v>13658.62</v>
      </c>
      <c r="M19" s="15">
        <v>1038.54</v>
      </c>
      <c r="N19" s="15">
        <f t="shared" ref="N19:N28" si="2">+L19-M19</f>
        <v>12620.080000000002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39</v>
      </c>
      <c r="D20" s="8" t="s">
        <v>40</v>
      </c>
      <c r="E20" s="2" t="s">
        <v>32</v>
      </c>
      <c r="F20" s="15">
        <f>7500+525</f>
        <v>8025</v>
      </c>
      <c r="G20" s="15"/>
      <c r="H20" s="15">
        <v>1500</v>
      </c>
      <c r="I20" s="15">
        <v>0</v>
      </c>
      <c r="J20" s="15">
        <v>375</v>
      </c>
      <c r="K20" s="15"/>
      <c r="L20" s="15">
        <f t="shared" si="1"/>
        <v>9900</v>
      </c>
      <c r="M20" s="15">
        <v>774.53</v>
      </c>
      <c r="N20" s="15">
        <f t="shared" si="2"/>
        <v>9125.4699999999993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9</v>
      </c>
      <c r="D21" s="1" t="s">
        <v>2</v>
      </c>
      <c r="E21" s="2" t="s">
        <v>32</v>
      </c>
      <c r="F21" s="15">
        <f>4243+297</f>
        <v>4540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1"/>
        <v>6590</v>
      </c>
      <c r="M21" s="15">
        <v>420.35</v>
      </c>
      <c r="N21" s="15">
        <f t="shared" si="2"/>
        <v>6169.65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41</v>
      </c>
      <c r="D22" s="1" t="s">
        <v>3</v>
      </c>
      <c r="E22" s="2" t="s">
        <v>32</v>
      </c>
      <c r="F22" s="15">
        <f>3384.59+236.96</f>
        <v>3621.55</v>
      </c>
      <c r="G22" s="15"/>
      <c r="H22" s="15">
        <v>1550</v>
      </c>
      <c r="I22" s="15">
        <v>0</v>
      </c>
      <c r="J22" s="15">
        <v>0</v>
      </c>
      <c r="K22" s="15"/>
      <c r="L22" s="15">
        <f t="shared" si="1"/>
        <v>5171.55</v>
      </c>
      <c r="M22" s="15">
        <v>283.63</v>
      </c>
      <c r="N22" s="15">
        <f t="shared" si="2"/>
        <v>4887.92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42</v>
      </c>
      <c r="D23" s="1" t="s">
        <v>1</v>
      </c>
      <c r="E23" s="2" t="s">
        <v>32</v>
      </c>
      <c r="F23" s="15">
        <f>3531+247.17</f>
        <v>3778.17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1"/>
        <v>5328.17</v>
      </c>
      <c r="M23" s="15">
        <v>240.66000000000003</v>
      </c>
      <c r="N23" s="15">
        <f t="shared" si="2"/>
        <v>5087.51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10</v>
      </c>
      <c r="D24" s="1" t="s">
        <v>49</v>
      </c>
      <c r="E24" s="2" t="s">
        <v>32</v>
      </c>
      <c r="F24" s="15">
        <f>5697+398.79</f>
        <v>6095.79</v>
      </c>
      <c r="G24" s="15"/>
      <c r="H24" s="15">
        <v>1800</v>
      </c>
      <c r="I24" s="15">
        <v>500</v>
      </c>
      <c r="J24" s="15"/>
      <c r="K24" s="15"/>
      <c r="L24" s="15">
        <f>SUM(F24:K24)</f>
        <v>8395.7900000000009</v>
      </c>
      <c r="M24" s="15">
        <v>510.84000000000003</v>
      </c>
      <c r="N24" s="15">
        <f t="shared" si="2"/>
        <v>7884.9500000000007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11</v>
      </c>
      <c r="D25" s="1" t="s">
        <v>4</v>
      </c>
      <c r="E25" s="2" t="s">
        <v>32</v>
      </c>
      <c r="F25" s="15">
        <f>7392+517.44</f>
        <v>7909.4400000000005</v>
      </c>
      <c r="G25" s="15"/>
      <c r="H25" s="15">
        <v>2300</v>
      </c>
      <c r="I25" s="15">
        <v>500</v>
      </c>
      <c r="J25" s="15"/>
      <c r="K25" s="15"/>
      <c r="L25" s="15">
        <f t="shared" si="1"/>
        <v>10709.44</v>
      </c>
      <c r="M25" s="15">
        <v>720.43</v>
      </c>
      <c r="N25" s="15">
        <f t="shared" si="2"/>
        <v>9989.01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7</v>
      </c>
      <c r="C26" s="8" t="s">
        <v>47</v>
      </c>
      <c r="D26" s="1" t="s">
        <v>48</v>
      </c>
      <c r="E26" s="2" t="s">
        <v>32</v>
      </c>
      <c r="F26" s="15">
        <f>6750+472.5</f>
        <v>7222.5</v>
      </c>
      <c r="G26" s="15"/>
      <c r="H26" s="15">
        <v>250</v>
      </c>
      <c r="I26" s="15">
        <v>0</v>
      </c>
      <c r="J26" s="15"/>
      <c r="K26" s="15"/>
      <c r="L26" s="15">
        <f t="shared" si="1"/>
        <v>7472.5</v>
      </c>
      <c r="M26" s="15">
        <v>510.28000000000003</v>
      </c>
      <c r="N26" s="15">
        <f t="shared" si="2"/>
        <v>6962.22</v>
      </c>
      <c r="O26" s="15"/>
      <c r="P26" s="15"/>
    </row>
    <row r="27" spans="1:16" ht="30" customHeight="1" x14ac:dyDescent="0.25">
      <c r="A27" s="1">
        <v>15</v>
      </c>
      <c r="B27" s="2" t="s">
        <v>7</v>
      </c>
      <c r="C27" s="8" t="s">
        <v>12</v>
      </c>
      <c r="D27" s="1" t="s">
        <v>5</v>
      </c>
      <c r="E27" s="2" t="s">
        <v>32</v>
      </c>
      <c r="F27" s="15">
        <f>3384.59+236.92</f>
        <v>3621.51</v>
      </c>
      <c r="G27" s="15"/>
      <c r="H27" s="15">
        <v>1550</v>
      </c>
      <c r="I27" s="15">
        <v>0</v>
      </c>
      <c r="J27" s="15"/>
      <c r="K27" s="15"/>
      <c r="L27" s="15">
        <f t="shared" si="1"/>
        <v>5171.51</v>
      </c>
      <c r="M27" s="15">
        <v>210.5</v>
      </c>
      <c r="N27" s="15">
        <f t="shared" si="2"/>
        <v>4961.01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45</v>
      </c>
      <c r="D28" s="1" t="s">
        <v>46</v>
      </c>
      <c r="E28" s="2" t="s">
        <v>32</v>
      </c>
      <c r="F28" s="15">
        <f>3384.59+236.92</f>
        <v>3621.51</v>
      </c>
      <c r="G28" s="15"/>
      <c r="H28" s="15">
        <v>1449</v>
      </c>
      <c r="I28" s="15"/>
      <c r="J28" s="15"/>
      <c r="K28" s="15"/>
      <c r="L28" s="15">
        <f t="shared" si="1"/>
        <v>5070.51</v>
      </c>
      <c r="M28" s="15">
        <v>357.54999999999995</v>
      </c>
      <c r="N28" s="15">
        <f t="shared" si="2"/>
        <v>4712.96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65</v>
      </c>
      <c r="D29" s="8" t="s">
        <v>13</v>
      </c>
      <c r="E29" s="2" t="s">
        <v>32</v>
      </c>
      <c r="F29" s="15">
        <v>4500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/>
      <c r="D30" s="1"/>
      <c r="E30" s="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23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23"/>
      <c r="N36" s="4"/>
      <c r="O36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97D2-5385-4589-889D-89A2A1A8BDE4}">
  <dimension ref="A1:P36"/>
  <sheetViews>
    <sheetView showGridLines="0" topLeftCell="A10" zoomScale="85" zoomScaleNormal="85" workbookViewId="0">
      <selection activeCell="M11" sqref="M11:M12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22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22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22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22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22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22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22"/>
      <c r="N7" s="10"/>
      <c r="O7" s="10"/>
      <c r="P7" s="10"/>
    </row>
    <row r="8" spans="1:16" ht="18.75" x14ac:dyDescent="0.3">
      <c r="A8" s="10" t="s">
        <v>60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22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23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23"/>
    </row>
    <row r="11" spans="1:16" ht="30" customHeight="1" x14ac:dyDescent="0.25">
      <c r="A11" s="26" t="s">
        <v>19</v>
      </c>
      <c r="B11" s="27" t="s">
        <v>20</v>
      </c>
      <c r="C11" s="19" t="s">
        <v>21</v>
      </c>
      <c r="D11" s="28" t="s">
        <v>22</v>
      </c>
      <c r="E11" s="29" t="s">
        <v>23</v>
      </c>
      <c r="F11" s="26" t="s">
        <v>33</v>
      </c>
      <c r="G11" s="26" t="s">
        <v>34</v>
      </c>
      <c r="H11" s="26" t="s">
        <v>36</v>
      </c>
      <c r="I11" s="26" t="s">
        <v>35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31" t="s">
        <v>29</v>
      </c>
      <c r="P11" s="32"/>
    </row>
    <row r="12" spans="1:16" ht="48" customHeight="1" x14ac:dyDescent="0.25">
      <c r="A12" s="26"/>
      <c r="B12" s="27"/>
      <c r="C12" s="19" t="s">
        <v>31</v>
      </c>
      <c r="D12" s="28"/>
      <c r="E12" s="30"/>
      <c r="F12" s="26"/>
      <c r="G12" s="26"/>
      <c r="H12" s="26"/>
      <c r="I12" s="27"/>
      <c r="J12" s="26"/>
      <c r="K12" s="27"/>
      <c r="L12" s="27"/>
      <c r="M12" s="27"/>
      <c r="N12" s="27"/>
      <c r="O12" s="18" t="s">
        <v>30</v>
      </c>
      <c r="P12" s="18" t="s">
        <v>37</v>
      </c>
    </row>
    <row r="13" spans="1:16" ht="30" customHeight="1" x14ac:dyDescent="0.25">
      <c r="A13" s="1">
        <v>1</v>
      </c>
      <c r="B13" s="16" t="s">
        <v>16</v>
      </c>
      <c r="C13" s="8" t="s">
        <v>50</v>
      </c>
      <c r="D13" s="1" t="s">
        <v>51</v>
      </c>
      <c r="E13" s="2" t="s">
        <v>32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52</v>
      </c>
      <c r="D14" s="1" t="s">
        <v>53</v>
      </c>
      <c r="E14" s="2" t="s">
        <v>32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16</v>
      </c>
      <c r="C15" s="9" t="s">
        <v>54</v>
      </c>
      <c r="D15" s="1" t="s">
        <v>55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16</v>
      </c>
      <c r="C16" s="9" t="s">
        <v>43</v>
      </c>
      <c r="D16" s="1" t="s">
        <v>17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16</v>
      </c>
      <c r="C17" s="9" t="s">
        <v>44</v>
      </c>
      <c r="D17" s="1" t="s">
        <v>18</v>
      </c>
      <c r="E17" s="2" t="s">
        <v>32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56</v>
      </c>
      <c r="D18" s="1" t="s">
        <v>0</v>
      </c>
      <c r="E18" s="2" t="s">
        <v>32</v>
      </c>
      <c r="F18" s="15">
        <v>8025</v>
      </c>
      <c r="G18" s="15">
        <v>150.47999999999999</v>
      </c>
      <c r="H18" s="15">
        <v>2250</v>
      </c>
      <c r="I18" s="15"/>
      <c r="J18" s="15">
        <v>0</v>
      </c>
      <c r="K18" s="15"/>
      <c r="L18" s="15">
        <f>SUM(F18:K18)</f>
        <v>10425.48</v>
      </c>
      <c r="M18" s="15">
        <v>394.88</v>
      </c>
      <c r="N18" s="15">
        <f>+L18-M18</f>
        <v>10030.6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38</v>
      </c>
      <c r="E19" s="2" t="s">
        <v>32</v>
      </c>
      <c r="F19" s="15">
        <f>10966+767.62</f>
        <v>11733.62</v>
      </c>
      <c r="G19" s="15">
        <v>146.68</v>
      </c>
      <c r="H19" s="15">
        <v>1550</v>
      </c>
      <c r="I19" s="15">
        <v>0</v>
      </c>
      <c r="J19" s="15">
        <v>375</v>
      </c>
      <c r="K19" s="15"/>
      <c r="L19" s="15">
        <f t="shared" ref="L19:L28" si="1">SUM(F19:K19)</f>
        <v>13805.300000000001</v>
      </c>
      <c r="M19" s="15">
        <v>1045.6300000000001</v>
      </c>
      <c r="N19" s="15">
        <f>+L19-M19</f>
        <v>12759.670000000002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39</v>
      </c>
      <c r="D20" s="8" t="s">
        <v>40</v>
      </c>
      <c r="E20" s="2" t="s">
        <v>32</v>
      </c>
      <c r="F20" s="15">
        <f>7500+525</f>
        <v>8025</v>
      </c>
      <c r="G20" s="15">
        <v>75.239999999999995</v>
      </c>
      <c r="H20" s="15">
        <v>1500</v>
      </c>
      <c r="I20" s="15">
        <v>0</v>
      </c>
      <c r="J20" s="15">
        <v>375</v>
      </c>
      <c r="K20" s="15"/>
      <c r="L20" s="15">
        <f t="shared" si="1"/>
        <v>9975.24</v>
      </c>
      <c r="M20" s="15">
        <v>778.16000000000008</v>
      </c>
      <c r="N20" s="15">
        <f t="shared" ref="N20:N28" si="2">+L20-M20</f>
        <v>9197.08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9</v>
      </c>
      <c r="D21" s="1" t="s">
        <v>2</v>
      </c>
      <c r="E21" s="2" t="s">
        <v>32</v>
      </c>
      <c r="F21" s="15">
        <f>4243+297</f>
        <v>4540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1"/>
        <v>6590</v>
      </c>
      <c r="M21" s="15">
        <v>420.35</v>
      </c>
      <c r="N21" s="15">
        <f t="shared" si="2"/>
        <v>6169.65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41</v>
      </c>
      <c r="D22" s="1" t="s">
        <v>3</v>
      </c>
      <c r="E22" s="2" t="s">
        <v>32</v>
      </c>
      <c r="F22" s="15">
        <f>3384.59+236.96</f>
        <v>3621.55</v>
      </c>
      <c r="G22" s="15">
        <v>45.26</v>
      </c>
      <c r="H22" s="15">
        <v>1550</v>
      </c>
      <c r="I22" s="15">
        <v>0</v>
      </c>
      <c r="J22" s="15">
        <v>0</v>
      </c>
      <c r="K22" s="15"/>
      <c r="L22" s="15">
        <f t="shared" si="1"/>
        <v>5216.8100000000004</v>
      </c>
      <c r="M22" s="15">
        <v>285.82</v>
      </c>
      <c r="N22" s="15">
        <f t="shared" si="2"/>
        <v>4930.9900000000007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42</v>
      </c>
      <c r="D23" s="1" t="s">
        <v>1</v>
      </c>
      <c r="E23" s="2" t="s">
        <v>32</v>
      </c>
      <c r="F23" s="15">
        <f>3531+247.17</f>
        <v>3778.17</v>
      </c>
      <c r="G23" s="15">
        <v>70.83</v>
      </c>
      <c r="H23" s="15">
        <v>1550</v>
      </c>
      <c r="I23" s="15">
        <v>0</v>
      </c>
      <c r="J23" s="15">
        <v>0</v>
      </c>
      <c r="K23" s="15"/>
      <c r="L23" s="15">
        <f t="shared" si="1"/>
        <v>5399</v>
      </c>
      <c r="M23" s="15">
        <v>244.07999999999998</v>
      </c>
      <c r="N23" s="15">
        <f t="shared" si="2"/>
        <v>5154.92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10</v>
      </c>
      <c r="D24" s="1" t="s">
        <v>49</v>
      </c>
      <c r="E24" s="2" t="s">
        <v>32</v>
      </c>
      <c r="F24" s="15">
        <f>5697+398.79</f>
        <v>6095.79</v>
      </c>
      <c r="G24" s="15"/>
      <c r="H24" s="15">
        <v>1800</v>
      </c>
      <c r="I24" s="15">
        <v>500</v>
      </c>
      <c r="J24" s="15"/>
      <c r="K24" s="15"/>
      <c r="L24" s="15">
        <f>SUM(F24:K24)</f>
        <v>8395.7900000000009</v>
      </c>
      <c r="M24" s="15">
        <v>510.84000000000003</v>
      </c>
      <c r="N24" s="15">
        <f t="shared" si="2"/>
        <v>7884.9500000000007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11</v>
      </c>
      <c r="D25" s="1" t="s">
        <v>4</v>
      </c>
      <c r="E25" s="2" t="s">
        <v>32</v>
      </c>
      <c r="F25" s="15">
        <f>7392+517.44</f>
        <v>7909.4400000000005</v>
      </c>
      <c r="G25" s="15">
        <v>329.55</v>
      </c>
      <c r="H25" s="15">
        <v>2300</v>
      </c>
      <c r="I25" s="15">
        <v>500</v>
      </c>
      <c r="J25" s="15"/>
      <c r="K25" s="15"/>
      <c r="L25" s="15">
        <f t="shared" si="1"/>
        <v>11038.99</v>
      </c>
      <c r="M25" s="15">
        <v>736.33999999999992</v>
      </c>
      <c r="N25" s="15">
        <f t="shared" si="2"/>
        <v>10302.65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7</v>
      </c>
      <c r="C26" s="8" t="s">
        <v>47</v>
      </c>
      <c r="D26" s="1" t="s">
        <v>48</v>
      </c>
      <c r="E26" s="2" t="s">
        <v>32</v>
      </c>
      <c r="F26" s="15">
        <f>6750+472.5</f>
        <v>7222.5</v>
      </c>
      <c r="G26" s="15"/>
      <c r="H26" s="15">
        <v>250</v>
      </c>
      <c r="I26" s="15">
        <v>0</v>
      </c>
      <c r="J26" s="15"/>
      <c r="K26" s="15"/>
      <c r="L26" s="15">
        <f t="shared" si="1"/>
        <v>7472.5</v>
      </c>
      <c r="M26" s="15">
        <v>510.28000000000003</v>
      </c>
      <c r="N26" s="15">
        <f t="shared" si="2"/>
        <v>6962.22</v>
      </c>
      <c r="O26" s="15"/>
      <c r="P26" s="15"/>
    </row>
    <row r="27" spans="1:16" ht="30" customHeight="1" x14ac:dyDescent="0.25">
      <c r="A27" s="1">
        <v>15</v>
      </c>
      <c r="B27" s="2" t="s">
        <v>7</v>
      </c>
      <c r="C27" s="8" t="s">
        <v>12</v>
      </c>
      <c r="D27" s="1" t="s">
        <v>5</v>
      </c>
      <c r="E27" s="2" t="s">
        <v>32</v>
      </c>
      <c r="F27" s="15">
        <f>3384.59+236.92</f>
        <v>3621.51</v>
      </c>
      <c r="G27" s="15"/>
      <c r="H27" s="15">
        <v>1550</v>
      </c>
      <c r="I27" s="15">
        <v>0</v>
      </c>
      <c r="J27" s="15"/>
      <c r="K27" s="15"/>
      <c r="L27" s="15">
        <f t="shared" si="1"/>
        <v>5171.51</v>
      </c>
      <c r="M27" s="15">
        <v>210.5</v>
      </c>
      <c r="N27" s="15">
        <f t="shared" si="2"/>
        <v>4961.01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45</v>
      </c>
      <c r="D28" s="1" t="s">
        <v>46</v>
      </c>
      <c r="E28" s="2" t="s">
        <v>32</v>
      </c>
      <c r="F28" s="15">
        <f>3384.59+236.92</f>
        <v>3621.51</v>
      </c>
      <c r="G28" s="15"/>
      <c r="H28" s="15">
        <v>1449</v>
      </c>
      <c r="I28" s="15"/>
      <c r="J28" s="15"/>
      <c r="K28" s="15"/>
      <c r="L28" s="15">
        <f t="shared" si="1"/>
        <v>5070.51</v>
      </c>
      <c r="M28" s="15">
        <v>357.54999999999995</v>
      </c>
      <c r="N28" s="15">
        <f t="shared" si="2"/>
        <v>4712.96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65</v>
      </c>
      <c r="D29" s="8" t="s">
        <v>13</v>
      </c>
      <c r="E29" s="2" t="s">
        <v>32</v>
      </c>
      <c r="F29" s="15">
        <v>4500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/>
      <c r="D30" s="1"/>
      <c r="E30" s="2" t="s">
        <v>32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23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23"/>
      <c r="N36" s="4"/>
      <c r="O36" s="4"/>
    </row>
  </sheetData>
  <mergeCells count="14">
    <mergeCell ref="G11:G12"/>
    <mergeCell ref="A11:A12"/>
    <mergeCell ref="B11:B12"/>
    <mergeCell ref="D11:D12"/>
    <mergeCell ref="E11:E12"/>
    <mergeCell ref="F11:F12"/>
    <mergeCell ref="O11:P11"/>
    <mergeCell ref="H11:H12"/>
    <mergeCell ref="I11:I12"/>
    <mergeCell ref="J11:J12"/>
    <mergeCell ref="K11:K12"/>
    <mergeCell ref="L11:L12"/>
    <mergeCell ref="N11:N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24984-52AF-47EB-B793-9C4182472B2B}">
  <dimension ref="A1:P36"/>
  <sheetViews>
    <sheetView showGridLines="0" topLeftCell="A10" zoomScale="85" zoomScaleNormal="85" workbookViewId="0">
      <selection activeCell="M11" sqref="M11:M12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22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22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22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22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22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22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22"/>
      <c r="N7" s="10"/>
      <c r="O7" s="10"/>
      <c r="P7" s="10"/>
    </row>
    <row r="8" spans="1:16" ht="18.75" x14ac:dyDescent="0.3">
      <c r="A8" s="10" t="s">
        <v>61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22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23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23"/>
    </row>
    <row r="11" spans="1:16" ht="30" customHeight="1" x14ac:dyDescent="0.25">
      <c r="A11" s="26" t="s">
        <v>19</v>
      </c>
      <c r="B11" s="27" t="s">
        <v>20</v>
      </c>
      <c r="C11" s="19" t="s">
        <v>21</v>
      </c>
      <c r="D11" s="28" t="s">
        <v>22</v>
      </c>
      <c r="E11" s="29" t="s">
        <v>23</v>
      </c>
      <c r="F11" s="26" t="s">
        <v>33</v>
      </c>
      <c r="G11" s="26" t="s">
        <v>34</v>
      </c>
      <c r="H11" s="26" t="s">
        <v>36</v>
      </c>
      <c r="I11" s="26" t="s">
        <v>35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31" t="s">
        <v>29</v>
      </c>
      <c r="P11" s="32"/>
    </row>
    <row r="12" spans="1:16" ht="48" customHeight="1" x14ac:dyDescent="0.25">
      <c r="A12" s="26"/>
      <c r="B12" s="27"/>
      <c r="C12" s="19" t="s">
        <v>31</v>
      </c>
      <c r="D12" s="28"/>
      <c r="E12" s="30"/>
      <c r="F12" s="26"/>
      <c r="G12" s="26"/>
      <c r="H12" s="26"/>
      <c r="I12" s="27"/>
      <c r="J12" s="26"/>
      <c r="K12" s="27"/>
      <c r="L12" s="27"/>
      <c r="M12" s="27"/>
      <c r="N12" s="27"/>
      <c r="O12" s="18" t="s">
        <v>30</v>
      </c>
      <c r="P12" s="18" t="s">
        <v>37</v>
      </c>
    </row>
    <row r="13" spans="1:16" ht="30" customHeight="1" x14ac:dyDescent="0.25">
      <c r="A13" s="1">
        <v>1</v>
      </c>
      <c r="B13" s="16" t="s">
        <v>16</v>
      </c>
      <c r="C13" s="8" t="s">
        <v>50</v>
      </c>
      <c r="D13" s="1" t="s">
        <v>51</v>
      </c>
      <c r="E13" s="2" t="s">
        <v>32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52</v>
      </c>
      <c r="D14" s="1" t="s">
        <v>53</v>
      </c>
      <c r="E14" s="2" t="s">
        <v>32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16</v>
      </c>
      <c r="C15" s="9" t="s">
        <v>54</v>
      </c>
      <c r="D15" s="1" t="s">
        <v>55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16</v>
      </c>
      <c r="C16" s="9" t="s">
        <v>43</v>
      </c>
      <c r="D16" s="1" t="s">
        <v>17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16</v>
      </c>
      <c r="C17" s="9" t="s">
        <v>44</v>
      </c>
      <c r="D17" s="1" t="s">
        <v>18</v>
      </c>
      <c r="E17" s="2" t="s">
        <v>32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56</v>
      </c>
      <c r="D18" s="1" t="s">
        <v>0</v>
      </c>
      <c r="E18" s="2" t="s">
        <v>32</v>
      </c>
      <c r="F18" s="15">
        <v>8025</v>
      </c>
      <c r="G18" s="15"/>
      <c r="H18" s="15">
        <v>2250</v>
      </c>
      <c r="I18" s="15"/>
      <c r="J18" s="15">
        <v>0</v>
      </c>
      <c r="K18" s="15"/>
      <c r="L18" s="15">
        <f>SUM(F18:K18)</f>
        <v>10275</v>
      </c>
      <c r="M18" s="15">
        <f>387.61+517.86</f>
        <v>905.47</v>
      </c>
      <c r="N18" s="15">
        <f>+L18-M18</f>
        <v>9369.5300000000007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38</v>
      </c>
      <c r="E19" s="2" t="s">
        <v>32</v>
      </c>
      <c r="F19" s="15">
        <f>10966+767.62</f>
        <v>11733.62</v>
      </c>
      <c r="G19" s="15"/>
      <c r="H19" s="15">
        <v>1550</v>
      </c>
      <c r="I19" s="15">
        <v>0</v>
      </c>
      <c r="J19" s="15">
        <v>375</v>
      </c>
      <c r="K19" s="15"/>
      <c r="L19" s="15">
        <f t="shared" ref="L19:L28" si="1">SUM(F19:K19)</f>
        <v>13658.62</v>
      </c>
      <c r="M19" s="15">
        <f>566.73+456.13</f>
        <v>1022.86</v>
      </c>
      <c r="N19" s="15">
        <f>+L19-M19</f>
        <v>12635.76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39</v>
      </c>
      <c r="D20" s="8" t="s">
        <v>40</v>
      </c>
      <c r="E20" s="2" t="s">
        <v>32</v>
      </c>
      <c r="F20" s="15">
        <f>7500+525</f>
        <v>8025</v>
      </c>
      <c r="G20" s="15"/>
      <c r="H20" s="15">
        <v>1500</v>
      </c>
      <c r="I20" s="15">
        <v>0</v>
      </c>
      <c r="J20" s="15">
        <v>375</v>
      </c>
      <c r="K20" s="15"/>
      <c r="L20" s="15">
        <f t="shared" si="1"/>
        <v>9900</v>
      </c>
      <c r="M20" s="15">
        <f>387.61+290.78+126</f>
        <v>804.39</v>
      </c>
      <c r="N20" s="15">
        <f t="shared" ref="N20:N28" si="2">+L20-M20</f>
        <v>9095.61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9</v>
      </c>
      <c r="D21" s="1" t="s">
        <v>2</v>
      </c>
      <c r="E21" s="2" t="s">
        <v>32</v>
      </c>
      <c r="F21" s="15">
        <f>4243+297</f>
        <v>4540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1"/>
        <v>6590</v>
      </c>
      <c r="M21" s="15">
        <f>219.25+84.58+128.2</f>
        <v>432.03</v>
      </c>
      <c r="N21" s="15">
        <f t="shared" si="2"/>
        <v>6157.97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41</v>
      </c>
      <c r="D22" s="1" t="s">
        <v>3</v>
      </c>
      <c r="E22" s="2" t="s">
        <v>32</v>
      </c>
      <c r="F22" s="15">
        <f>3384.59+236.96</f>
        <v>3621.55</v>
      </c>
      <c r="G22" s="15">
        <v>120.72</v>
      </c>
      <c r="H22" s="15">
        <v>1550</v>
      </c>
      <c r="I22" s="15">
        <v>0</v>
      </c>
      <c r="J22" s="15">
        <v>0</v>
      </c>
      <c r="K22" s="15"/>
      <c r="L22" s="15">
        <f t="shared" si="1"/>
        <v>5292.27</v>
      </c>
      <c r="M22" s="15">
        <f>180.15+66.32+60.9</f>
        <v>307.37</v>
      </c>
      <c r="N22" s="15">
        <f t="shared" si="2"/>
        <v>4984.9000000000005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42</v>
      </c>
      <c r="D23" s="1" t="s">
        <v>1</v>
      </c>
      <c r="E23" s="2" t="s">
        <v>32</v>
      </c>
      <c r="F23" s="15">
        <f>3531+247.17</f>
        <v>3778.17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1"/>
        <v>5328.17</v>
      </c>
      <c r="M23" s="15">
        <f>182.49+69.36</f>
        <v>251.85000000000002</v>
      </c>
      <c r="N23" s="15">
        <f t="shared" si="2"/>
        <v>5076.32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10</v>
      </c>
      <c r="D24" s="1" t="s">
        <v>49</v>
      </c>
      <c r="E24" s="2" t="s">
        <v>32</v>
      </c>
      <c r="F24" s="15">
        <f>5697+398.79</f>
        <v>6095.79</v>
      </c>
      <c r="G24" s="15">
        <v>558.79999999999995</v>
      </c>
      <c r="H24" s="15">
        <v>1800</v>
      </c>
      <c r="I24" s="15">
        <v>500</v>
      </c>
      <c r="J24" s="15"/>
      <c r="K24" s="15"/>
      <c r="L24" s="15">
        <f>SUM(F24:K24)</f>
        <v>8954.59</v>
      </c>
      <c r="M24" s="15">
        <f>321.42+212.69</f>
        <v>534.11</v>
      </c>
      <c r="N24" s="15">
        <f t="shared" si="2"/>
        <v>8420.48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11</v>
      </c>
      <c r="D25" s="1" t="s">
        <v>4</v>
      </c>
      <c r="E25" s="2" t="s">
        <v>32</v>
      </c>
      <c r="F25" s="15">
        <f>7392+517.44</f>
        <v>7909.4400000000005</v>
      </c>
      <c r="G25" s="15">
        <v>329.55</v>
      </c>
      <c r="H25" s="15">
        <v>2300</v>
      </c>
      <c r="I25" s="15">
        <v>500</v>
      </c>
      <c r="J25" s="15"/>
      <c r="K25" s="15"/>
      <c r="L25" s="15">
        <f t="shared" si="1"/>
        <v>11038.99</v>
      </c>
      <c r="M25" s="15">
        <f>397.94+320.33</f>
        <v>718.27</v>
      </c>
      <c r="N25" s="15">
        <f t="shared" si="2"/>
        <v>10320.719999999999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7</v>
      </c>
      <c r="C26" s="8" t="s">
        <v>47</v>
      </c>
      <c r="D26" s="1" t="s">
        <v>48</v>
      </c>
      <c r="E26" s="2" t="s">
        <v>32</v>
      </c>
      <c r="F26" s="15">
        <f>6750+472.5</f>
        <v>7222.5</v>
      </c>
      <c r="G26" s="15"/>
      <c r="H26" s="15">
        <v>250</v>
      </c>
      <c r="I26" s="15">
        <v>0</v>
      </c>
      <c r="J26" s="15"/>
      <c r="K26" s="15"/>
      <c r="L26" s="15">
        <f t="shared" si="1"/>
        <v>7472.5</v>
      </c>
      <c r="M26" s="15">
        <f>348.85+151.93</f>
        <v>500.78000000000003</v>
      </c>
      <c r="N26" s="15">
        <f t="shared" si="2"/>
        <v>6971.72</v>
      </c>
      <c r="O26" s="15"/>
      <c r="P26" s="15"/>
    </row>
    <row r="27" spans="1:16" ht="30" customHeight="1" x14ac:dyDescent="0.25">
      <c r="A27" s="1">
        <v>15</v>
      </c>
      <c r="B27" s="2" t="s">
        <v>7</v>
      </c>
      <c r="C27" s="8" t="s">
        <v>12</v>
      </c>
      <c r="D27" s="1" t="s">
        <v>5</v>
      </c>
      <c r="E27" s="2" t="s">
        <v>32</v>
      </c>
      <c r="F27" s="15">
        <f>3384.59+236.92</f>
        <v>3621.51</v>
      </c>
      <c r="G27" s="15">
        <v>150.9</v>
      </c>
      <c r="H27" s="15">
        <v>1550</v>
      </c>
      <c r="I27" s="15">
        <v>0</v>
      </c>
      <c r="J27" s="15"/>
      <c r="K27" s="15"/>
      <c r="L27" s="15">
        <f t="shared" si="1"/>
        <v>5322.41</v>
      </c>
      <c r="M27" s="15">
        <f>182.21+64.68</f>
        <v>246.89000000000001</v>
      </c>
      <c r="N27" s="15">
        <f t="shared" si="2"/>
        <v>5075.5199999999995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45</v>
      </c>
      <c r="D28" s="1" t="s">
        <v>46</v>
      </c>
      <c r="E28" s="2" t="s">
        <v>32</v>
      </c>
      <c r="F28" s="15">
        <f>3384.59+236.92</f>
        <v>3621.51</v>
      </c>
      <c r="G28" s="15"/>
      <c r="H28" s="15">
        <v>1449</v>
      </c>
      <c r="I28" s="15"/>
      <c r="J28" s="15"/>
      <c r="K28" s="15"/>
      <c r="L28" s="15">
        <f t="shared" si="1"/>
        <v>5070.51</v>
      </c>
      <c r="M28" s="15">
        <f>174.92+58.13</f>
        <v>233.04999999999998</v>
      </c>
      <c r="N28" s="15">
        <f t="shared" si="2"/>
        <v>4837.46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65</v>
      </c>
      <c r="D29" s="8" t="s">
        <v>13</v>
      </c>
      <c r="E29" s="2" t="s">
        <v>32</v>
      </c>
      <c r="F29" s="15">
        <v>4500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/>
      <c r="D30" s="1"/>
      <c r="E30" s="2" t="s">
        <v>32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23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23"/>
      <c r="N36" s="4"/>
      <c r="O36" s="4"/>
    </row>
  </sheetData>
  <mergeCells count="14">
    <mergeCell ref="O11:P11"/>
    <mergeCell ref="H11:H12"/>
    <mergeCell ref="I11:I12"/>
    <mergeCell ref="J11:J12"/>
    <mergeCell ref="K11:K12"/>
    <mergeCell ref="L11:L12"/>
    <mergeCell ref="N11:N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22A09-9974-4CAA-B3DF-BE2A1DBC6CD1}">
  <dimension ref="A1:P36"/>
  <sheetViews>
    <sheetView showGridLines="0" topLeftCell="A9" zoomScale="85" zoomScaleNormal="85" workbookViewId="0">
      <selection activeCell="M11" sqref="M11:M12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22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22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22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22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22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22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22"/>
      <c r="N7" s="10"/>
      <c r="O7" s="10"/>
      <c r="P7" s="10"/>
    </row>
    <row r="8" spans="1:16" ht="18.75" x14ac:dyDescent="0.3">
      <c r="A8" s="10" t="s">
        <v>62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22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23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23"/>
    </row>
    <row r="11" spans="1:16" ht="30" customHeight="1" x14ac:dyDescent="0.25">
      <c r="A11" s="26" t="s">
        <v>19</v>
      </c>
      <c r="B11" s="27" t="s">
        <v>20</v>
      </c>
      <c r="C11" s="19" t="s">
        <v>21</v>
      </c>
      <c r="D11" s="28" t="s">
        <v>22</v>
      </c>
      <c r="E11" s="29" t="s">
        <v>23</v>
      </c>
      <c r="F11" s="26" t="s">
        <v>33</v>
      </c>
      <c r="G11" s="26" t="s">
        <v>34</v>
      </c>
      <c r="H11" s="26" t="s">
        <v>36</v>
      </c>
      <c r="I11" s="26" t="s">
        <v>35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31" t="s">
        <v>29</v>
      </c>
      <c r="P11" s="32"/>
    </row>
    <row r="12" spans="1:16" ht="48" customHeight="1" x14ac:dyDescent="0.25">
      <c r="A12" s="26"/>
      <c r="B12" s="27"/>
      <c r="C12" s="19" t="s">
        <v>31</v>
      </c>
      <c r="D12" s="28"/>
      <c r="E12" s="30"/>
      <c r="F12" s="26"/>
      <c r="G12" s="26"/>
      <c r="H12" s="26"/>
      <c r="I12" s="27"/>
      <c r="J12" s="26"/>
      <c r="K12" s="27"/>
      <c r="L12" s="27"/>
      <c r="M12" s="27"/>
      <c r="N12" s="27"/>
      <c r="O12" s="18" t="s">
        <v>30</v>
      </c>
      <c r="P12" s="18" t="s">
        <v>37</v>
      </c>
    </row>
    <row r="13" spans="1:16" ht="30" customHeight="1" x14ac:dyDescent="0.25">
      <c r="A13" s="1">
        <v>1</v>
      </c>
      <c r="B13" s="16" t="s">
        <v>16</v>
      </c>
      <c r="C13" s="8" t="s">
        <v>50</v>
      </c>
      <c r="D13" s="1" t="s">
        <v>51</v>
      </c>
      <c r="E13" s="2" t="s">
        <v>32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52</v>
      </c>
      <c r="D14" s="1" t="s">
        <v>53</v>
      </c>
      <c r="E14" s="2" t="s">
        <v>32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16</v>
      </c>
      <c r="C15" s="9" t="s">
        <v>54</v>
      </c>
      <c r="D15" s="1" t="s">
        <v>55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16</v>
      </c>
      <c r="C16" s="9" t="s">
        <v>43</v>
      </c>
      <c r="D16" s="1" t="s">
        <v>17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16</v>
      </c>
      <c r="C17" s="9" t="s">
        <v>44</v>
      </c>
      <c r="D17" s="1" t="s">
        <v>18</v>
      </c>
      <c r="E17" s="2" t="s">
        <v>32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56</v>
      </c>
      <c r="D18" s="1" t="s">
        <v>0</v>
      </c>
      <c r="E18" s="2" t="s">
        <v>32</v>
      </c>
      <c r="F18" s="15">
        <v>8025</v>
      </c>
      <c r="G18" s="15">
        <v>401.28</v>
      </c>
      <c r="H18" s="15">
        <v>2250</v>
      </c>
      <c r="I18" s="15"/>
      <c r="J18" s="15">
        <v>0</v>
      </c>
      <c r="K18" s="15"/>
      <c r="L18" s="15">
        <f>SUM(F18:K18)</f>
        <v>10676.28</v>
      </c>
      <c r="M18" s="15">
        <f>406.99+520.25</f>
        <v>927.24</v>
      </c>
      <c r="N18" s="15">
        <f>+L18-M18</f>
        <v>9749.0400000000009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38</v>
      </c>
      <c r="E19" s="2" t="s">
        <v>32</v>
      </c>
      <c r="F19" s="15">
        <f>10966+767.62</f>
        <v>11733.62</v>
      </c>
      <c r="G19" s="15">
        <v>586.72</v>
      </c>
      <c r="H19" s="15">
        <v>1550</v>
      </c>
      <c r="I19" s="15">
        <v>0</v>
      </c>
      <c r="J19" s="15">
        <v>375</v>
      </c>
      <c r="K19" s="15"/>
      <c r="L19" s="15">
        <f t="shared" ref="L19:L28" si="1">SUM(F19:K19)</f>
        <v>14245.34</v>
      </c>
      <c r="M19" s="15">
        <f>595.07+459.62</f>
        <v>1054.69</v>
      </c>
      <c r="N19" s="15">
        <f>+L19-M19</f>
        <v>13190.65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39</v>
      </c>
      <c r="D20" s="8" t="s">
        <v>40</v>
      </c>
      <c r="E20" s="2" t="s">
        <v>32</v>
      </c>
      <c r="F20" s="15">
        <f>7500+525</f>
        <v>8025</v>
      </c>
      <c r="G20" s="15">
        <v>326.04000000000002</v>
      </c>
      <c r="H20" s="15">
        <v>1500</v>
      </c>
      <c r="I20" s="15">
        <v>0</v>
      </c>
      <c r="J20" s="15">
        <v>375</v>
      </c>
      <c r="K20" s="15"/>
      <c r="L20" s="15">
        <f t="shared" si="1"/>
        <v>10226.040000000001</v>
      </c>
      <c r="M20" s="15">
        <f>403.36+126+292.72</f>
        <v>822.08</v>
      </c>
      <c r="N20" s="15">
        <f t="shared" ref="N20:N28" si="2">+L20-M20</f>
        <v>9403.9600000000009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9</v>
      </c>
      <c r="D21" s="1" t="s">
        <v>2</v>
      </c>
      <c r="E21" s="2" t="s">
        <v>32</v>
      </c>
      <c r="F21" s="15">
        <f>4243+297</f>
        <v>4540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1"/>
        <v>6590</v>
      </c>
      <c r="M21" s="15">
        <v>420.35</v>
      </c>
      <c r="N21" s="15">
        <f t="shared" si="2"/>
        <v>6169.65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41</v>
      </c>
      <c r="D22" s="1" t="s">
        <v>3</v>
      </c>
      <c r="E22" s="2" t="s">
        <v>32</v>
      </c>
      <c r="F22" s="15">
        <f>3384.59+236.96</f>
        <v>3621.55</v>
      </c>
      <c r="G22" s="15">
        <v>181.04</v>
      </c>
      <c r="H22" s="15">
        <v>1550</v>
      </c>
      <c r="I22" s="15">
        <v>0</v>
      </c>
      <c r="J22" s="15">
        <v>0</v>
      </c>
      <c r="K22" s="15"/>
      <c r="L22" s="15">
        <f t="shared" si="1"/>
        <v>5352.59</v>
      </c>
      <c r="M22" s="15">
        <v>311.97000000000003</v>
      </c>
      <c r="N22" s="15">
        <f t="shared" si="2"/>
        <v>5040.62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42</v>
      </c>
      <c r="D23" s="1" t="s">
        <v>1</v>
      </c>
      <c r="E23" s="2" t="s">
        <v>32</v>
      </c>
      <c r="F23" s="15">
        <f>3531+247.17</f>
        <v>3778.17</v>
      </c>
      <c r="G23" s="15">
        <v>70.83</v>
      </c>
      <c r="H23" s="15">
        <v>1550</v>
      </c>
      <c r="I23" s="15">
        <v>0</v>
      </c>
      <c r="J23" s="15">
        <v>0</v>
      </c>
      <c r="K23" s="15"/>
      <c r="L23" s="15">
        <f t="shared" si="1"/>
        <v>5399</v>
      </c>
      <c r="M23" s="15">
        <f>183.67+66.32+61.98</f>
        <v>311.96999999999997</v>
      </c>
      <c r="N23" s="15">
        <f t="shared" si="2"/>
        <v>5087.03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10</v>
      </c>
      <c r="D24" s="1" t="s">
        <v>49</v>
      </c>
      <c r="E24" s="2" t="s">
        <v>32</v>
      </c>
      <c r="F24" s="15">
        <f>5697+398.79</f>
        <v>6095.79</v>
      </c>
      <c r="G24" s="15">
        <v>266.7</v>
      </c>
      <c r="H24" s="15">
        <v>1800</v>
      </c>
      <c r="I24" s="15">
        <v>500</v>
      </c>
      <c r="J24" s="15"/>
      <c r="K24" s="15"/>
      <c r="L24" s="15">
        <f>SUM(F24:K24)</f>
        <v>8662.49</v>
      </c>
      <c r="M24" s="15">
        <v>521.59</v>
      </c>
      <c r="N24" s="15">
        <f t="shared" si="2"/>
        <v>8140.9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11</v>
      </c>
      <c r="D25" s="1" t="s">
        <v>4</v>
      </c>
      <c r="E25" s="2" t="s">
        <v>32</v>
      </c>
      <c r="F25" s="15">
        <f>7392+517.44</f>
        <v>7909.4400000000005</v>
      </c>
      <c r="G25" s="15">
        <v>346.01</v>
      </c>
      <c r="H25" s="15">
        <v>2300</v>
      </c>
      <c r="I25" s="15">
        <v>500</v>
      </c>
      <c r="J25" s="15"/>
      <c r="K25" s="15"/>
      <c r="L25" s="15">
        <f t="shared" si="1"/>
        <v>11055.45</v>
      </c>
      <c r="M25" s="15">
        <v>721.13</v>
      </c>
      <c r="N25" s="15">
        <f t="shared" si="2"/>
        <v>10334.320000000002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7</v>
      </c>
      <c r="C26" s="8" t="s">
        <v>47</v>
      </c>
      <c r="D26" s="1" t="s">
        <v>48</v>
      </c>
      <c r="E26" s="2" t="s">
        <v>32</v>
      </c>
      <c r="F26" s="15">
        <f>6750+472.5</f>
        <v>7222.5</v>
      </c>
      <c r="G26" s="15"/>
      <c r="H26" s="15">
        <v>250</v>
      </c>
      <c r="I26" s="15">
        <v>0</v>
      </c>
      <c r="J26" s="15"/>
      <c r="K26" s="15"/>
      <c r="L26" s="15">
        <f t="shared" si="1"/>
        <v>7472.5</v>
      </c>
      <c r="M26" s="15">
        <v>500.78</v>
      </c>
      <c r="N26" s="15">
        <f t="shared" si="2"/>
        <v>6971.72</v>
      </c>
      <c r="O26" s="15"/>
      <c r="P26" s="15"/>
    </row>
    <row r="27" spans="1:16" ht="30" customHeight="1" x14ac:dyDescent="0.25">
      <c r="A27" s="1">
        <v>15</v>
      </c>
      <c r="B27" s="2" t="s">
        <v>7</v>
      </c>
      <c r="C27" s="8" t="s">
        <v>12</v>
      </c>
      <c r="D27" s="1" t="s">
        <v>5</v>
      </c>
      <c r="E27" s="2" t="s">
        <v>32</v>
      </c>
      <c r="F27" s="15">
        <f>3384.59+236.92</f>
        <v>3621.51</v>
      </c>
      <c r="G27" s="15"/>
      <c r="H27" s="15">
        <v>1550</v>
      </c>
      <c r="I27" s="15">
        <v>0</v>
      </c>
      <c r="J27" s="15"/>
      <c r="K27" s="15"/>
      <c r="L27" s="15">
        <f t="shared" si="1"/>
        <v>5171.51</v>
      </c>
      <c r="M27" s="15">
        <v>239.6</v>
      </c>
      <c r="N27" s="15">
        <f t="shared" si="2"/>
        <v>4931.91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45</v>
      </c>
      <c r="D28" s="1" t="s">
        <v>46</v>
      </c>
      <c r="E28" s="2" t="s">
        <v>32</v>
      </c>
      <c r="F28" s="15">
        <f>3384.59+236.92</f>
        <v>3621.51</v>
      </c>
      <c r="G28" s="15"/>
      <c r="H28" s="15">
        <v>1449</v>
      </c>
      <c r="I28" s="15"/>
      <c r="J28" s="15"/>
      <c r="K28" s="15"/>
      <c r="L28" s="15">
        <f t="shared" si="1"/>
        <v>5070.51</v>
      </c>
      <c r="M28" s="15">
        <v>233.05</v>
      </c>
      <c r="N28" s="15">
        <f t="shared" si="2"/>
        <v>4837.46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65</v>
      </c>
      <c r="D29" s="8" t="s">
        <v>13</v>
      </c>
      <c r="E29" s="2" t="s">
        <v>32</v>
      </c>
      <c r="F29" s="15">
        <v>4500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/>
      <c r="D30" s="1"/>
      <c r="E30" s="2" t="s">
        <v>32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23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23"/>
      <c r="N36" s="4"/>
      <c r="O36" s="4"/>
    </row>
  </sheetData>
  <mergeCells count="14">
    <mergeCell ref="O11:P11"/>
    <mergeCell ref="H11:H12"/>
    <mergeCell ref="I11:I12"/>
    <mergeCell ref="J11:J12"/>
    <mergeCell ref="K11:K12"/>
    <mergeCell ref="L11:L12"/>
    <mergeCell ref="N11:N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BA7E-C982-4DDA-BED1-A82C79C15018}">
  <dimension ref="A1:P36"/>
  <sheetViews>
    <sheetView showGridLines="0" topLeftCell="A8" zoomScale="85" zoomScaleNormal="85" workbookViewId="0">
      <selection activeCell="M11" sqref="M11:M12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22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22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22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22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22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22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22"/>
      <c r="N7" s="10"/>
      <c r="O7" s="10"/>
      <c r="P7" s="10"/>
    </row>
    <row r="8" spans="1:16" ht="18.75" x14ac:dyDescent="0.3">
      <c r="A8" s="10" t="s">
        <v>63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22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23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23"/>
    </row>
    <row r="11" spans="1:16" ht="30" customHeight="1" x14ac:dyDescent="0.25">
      <c r="A11" s="26" t="s">
        <v>19</v>
      </c>
      <c r="B11" s="27" t="s">
        <v>20</v>
      </c>
      <c r="C11" s="19" t="s">
        <v>21</v>
      </c>
      <c r="D11" s="28" t="s">
        <v>22</v>
      </c>
      <c r="E11" s="29" t="s">
        <v>23</v>
      </c>
      <c r="F11" s="26" t="s">
        <v>33</v>
      </c>
      <c r="G11" s="26" t="s">
        <v>34</v>
      </c>
      <c r="H11" s="26" t="s">
        <v>36</v>
      </c>
      <c r="I11" s="26" t="s">
        <v>35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31" t="s">
        <v>29</v>
      </c>
      <c r="P11" s="32"/>
    </row>
    <row r="12" spans="1:16" ht="48" customHeight="1" x14ac:dyDescent="0.25">
      <c r="A12" s="26"/>
      <c r="B12" s="27"/>
      <c r="C12" s="19" t="s">
        <v>31</v>
      </c>
      <c r="D12" s="28"/>
      <c r="E12" s="30"/>
      <c r="F12" s="26"/>
      <c r="G12" s="26"/>
      <c r="H12" s="26"/>
      <c r="I12" s="27"/>
      <c r="J12" s="26"/>
      <c r="K12" s="27"/>
      <c r="L12" s="27"/>
      <c r="M12" s="27"/>
      <c r="N12" s="27"/>
      <c r="O12" s="18" t="s">
        <v>30</v>
      </c>
      <c r="P12" s="18" t="s">
        <v>37</v>
      </c>
    </row>
    <row r="13" spans="1:16" ht="30" customHeight="1" x14ac:dyDescent="0.25">
      <c r="A13" s="1">
        <v>1</v>
      </c>
      <c r="B13" s="16" t="s">
        <v>16</v>
      </c>
      <c r="C13" s="8" t="s">
        <v>50</v>
      </c>
      <c r="D13" s="1" t="s">
        <v>51</v>
      </c>
      <c r="E13" s="2" t="s">
        <v>32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52</v>
      </c>
      <c r="D14" s="1" t="s">
        <v>53</v>
      </c>
      <c r="E14" s="2" t="s">
        <v>32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16</v>
      </c>
      <c r="C15" s="9" t="s">
        <v>54</v>
      </c>
      <c r="D15" s="1" t="s">
        <v>55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16</v>
      </c>
      <c r="C16" s="9" t="s">
        <v>43</v>
      </c>
      <c r="D16" s="1" t="s">
        <v>17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16</v>
      </c>
      <c r="C17" s="9" t="s">
        <v>44</v>
      </c>
      <c r="D17" s="1" t="s">
        <v>18</v>
      </c>
      <c r="E17" s="2" t="s">
        <v>32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56</v>
      </c>
      <c r="D18" s="1" t="s">
        <v>0</v>
      </c>
      <c r="E18" s="2" t="s">
        <v>32</v>
      </c>
      <c r="F18" s="15">
        <v>8025</v>
      </c>
      <c r="G18" s="15">
        <v>25.08</v>
      </c>
      <c r="H18" s="15">
        <v>2250</v>
      </c>
      <c r="I18" s="15"/>
      <c r="J18" s="15">
        <v>0</v>
      </c>
      <c r="K18" s="15"/>
      <c r="L18" s="15">
        <f>SUM(F18:K18)</f>
        <v>10300.08</v>
      </c>
      <c r="M18" s="15">
        <v>909.24</v>
      </c>
      <c r="N18" s="15">
        <f>+L18-M18</f>
        <v>9390.84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38</v>
      </c>
      <c r="E19" s="2" t="s">
        <v>32</v>
      </c>
      <c r="F19" s="15">
        <f>10966+767.62</f>
        <v>11733.62</v>
      </c>
      <c r="G19" s="15">
        <v>525.57000000000005</v>
      </c>
      <c r="H19" s="15">
        <v>1550</v>
      </c>
      <c r="I19" s="15">
        <v>0</v>
      </c>
      <c r="J19" s="15">
        <v>375</v>
      </c>
      <c r="K19" s="15"/>
      <c r="L19" s="15">
        <f t="shared" ref="L19:L28" si="1">SUM(F19:K19)</f>
        <v>14184.19</v>
      </c>
      <c r="M19" s="15">
        <v>1055.31</v>
      </c>
      <c r="N19" s="15">
        <f>+L19-M19</f>
        <v>13128.880000000001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39</v>
      </c>
      <c r="D20" s="8" t="s">
        <v>40</v>
      </c>
      <c r="E20" s="2" t="s">
        <v>32</v>
      </c>
      <c r="F20" s="15">
        <f>7500+525</f>
        <v>8025</v>
      </c>
      <c r="G20" s="15"/>
      <c r="H20" s="15">
        <v>1500</v>
      </c>
      <c r="I20" s="15">
        <v>0</v>
      </c>
      <c r="J20" s="15">
        <v>375</v>
      </c>
      <c r="K20" s="15"/>
      <c r="L20" s="15">
        <f t="shared" si="1"/>
        <v>9900</v>
      </c>
      <c r="M20" s="15">
        <f>387.61+126+292.72</f>
        <v>806.33</v>
      </c>
      <c r="N20" s="15">
        <f t="shared" ref="N20:N28" si="2">+L20-M20</f>
        <v>9093.67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9</v>
      </c>
      <c r="D21" s="1" t="s">
        <v>2</v>
      </c>
      <c r="E21" s="2" t="s">
        <v>32</v>
      </c>
      <c r="F21" s="15">
        <f>4243+297</f>
        <v>4540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1"/>
        <v>6590</v>
      </c>
      <c r="M21" s="15">
        <v>420.35</v>
      </c>
      <c r="N21" s="15">
        <f t="shared" si="2"/>
        <v>6169.65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41</v>
      </c>
      <c r="D22" s="1" t="s">
        <v>3</v>
      </c>
      <c r="E22" s="2" t="s">
        <v>32</v>
      </c>
      <c r="F22" s="15">
        <f>3384.59+236.96</f>
        <v>3621.55</v>
      </c>
      <c r="G22" s="15">
        <v>162.22</v>
      </c>
      <c r="H22" s="15">
        <v>1550</v>
      </c>
      <c r="I22" s="15">
        <v>0</v>
      </c>
      <c r="J22" s="15">
        <v>0</v>
      </c>
      <c r="K22" s="15"/>
      <c r="L22" s="15">
        <f t="shared" si="1"/>
        <v>5333.77</v>
      </c>
      <c r="M22" s="15">
        <v>312.16000000000003</v>
      </c>
      <c r="N22" s="15">
        <f t="shared" si="2"/>
        <v>5021.6100000000006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42</v>
      </c>
      <c r="D23" s="1" t="s">
        <v>1</v>
      </c>
      <c r="E23" s="2" t="s">
        <v>32</v>
      </c>
      <c r="F23" s="15">
        <f>3531+247.17</f>
        <v>3778.17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1"/>
        <v>5328.17</v>
      </c>
      <c r="M23" s="15">
        <v>252.47</v>
      </c>
      <c r="N23" s="15">
        <f t="shared" si="2"/>
        <v>5075.7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10</v>
      </c>
      <c r="D24" s="1" t="s">
        <v>49</v>
      </c>
      <c r="E24" s="2" t="s">
        <v>32</v>
      </c>
      <c r="F24" s="15">
        <f>5697+398.79</f>
        <v>6095.79</v>
      </c>
      <c r="G24" s="15">
        <v>279.39999999999998</v>
      </c>
      <c r="H24" s="15">
        <v>1800</v>
      </c>
      <c r="I24" s="15">
        <v>500</v>
      </c>
      <c r="J24" s="15"/>
      <c r="K24" s="15"/>
      <c r="L24" s="15">
        <f>SUM(F24:K24)</f>
        <v>8675.1899999999987</v>
      </c>
      <c r="M24" s="15">
        <v>524.09</v>
      </c>
      <c r="N24" s="15">
        <f t="shared" si="2"/>
        <v>8151.0999999999985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11</v>
      </c>
      <c r="D25" s="1" t="s">
        <v>4</v>
      </c>
      <c r="E25" s="2" t="s">
        <v>32</v>
      </c>
      <c r="F25" s="15">
        <f>7392+517.44</f>
        <v>7909.4400000000005</v>
      </c>
      <c r="G25" s="15">
        <v>329.55</v>
      </c>
      <c r="H25" s="15">
        <v>2300</v>
      </c>
      <c r="I25" s="15">
        <v>500</v>
      </c>
      <c r="J25" s="15"/>
      <c r="K25" s="15"/>
      <c r="L25" s="15">
        <f t="shared" si="1"/>
        <v>11038.99</v>
      </c>
      <c r="M25" s="15">
        <v>722.57</v>
      </c>
      <c r="N25" s="15">
        <f t="shared" si="2"/>
        <v>10316.42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7</v>
      </c>
      <c r="C26" s="8" t="s">
        <v>47</v>
      </c>
      <c r="D26" s="1" t="s">
        <v>48</v>
      </c>
      <c r="E26" s="2" t="s">
        <v>32</v>
      </c>
      <c r="F26" s="15">
        <f>6750+472.5</f>
        <v>7222.5</v>
      </c>
      <c r="G26" s="15"/>
      <c r="H26" s="15">
        <v>250</v>
      </c>
      <c r="I26" s="15">
        <v>0</v>
      </c>
      <c r="J26" s="15"/>
      <c r="K26" s="15"/>
      <c r="L26" s="15">
        <f t="shared" si="1"/>
        <v>7472.5</v>
      </c>
      <c r="M26" s="15">
        <v>500.78</v>
      </c>
      <c r="N26" s="15">
        <f t="shared" si="2"/>
        <v>6971.72</v>
      </c>
      <c r="O26" s="15"/>
      <c r="P26" s="15"/>
    </row>
    <row r="27" spans="1:16" ht="30" customHeight="1" x14ac:dyDescent="0.25">
      <c r="A27" s="1">
        <v>15</v>
      </c>
      <c r="B27" s="2" t="s">
        <v>7</v>
      </c>
      <c r="C27" s="8" t="s">
        <v>12</v>
      </c>
      <c r="D27" s="1" t="s">
        <v>5</v>
      </c>
      <c r="E27" s="2" t="s">
        <v>32</v>
      </c>
      <c r="F27" s="15">
        <f>3384.59+236.92</f>
        <v>3621.51</v>
      </c>
      <c r="G27" s="15">
        <v>150.9</v>
      </c>
      <c r="H27" s="15">
        <v>1550</v>
      </c>
      <c r="I27" s="15">
        <v>0</v>
      </c>
      <c r="J27" s="15"/>
      <c r="K27" s="15"/>
      <c r="L27" s="15">
        <f t="shared" si="1"/>
        <v>5322.41</v>
      </c>
      <c r="M27" s="15">
        <v>247.92</v>
      </c>
      <c r="N27" s="15">
        <f t="shared" si="2"/>
        <v>5074.49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45</v>
      </c>
      <c r="D28" s="1" t="s">
        <v>46</v>
      </c>
      <c r="E28" s="2" t="s">
        <v>32</v>
      </c>
      <c r="F28" s="15">
        <f>3384.59+236.92</f>
        <v>3621.51</v>
      </c>
      <c r="G28" s="15">
        <v>150.9</v>
      </c>
      <c r="H28" s="15">
        <v>1449</v>
      </c>
      <c r="I28" s="15"/>
      <c r="J28" s="15"/>
      <c r="K28" s="15"/>
      <c r="L28" s="15">
        <f t="shared" si="1"/>
        <v>5221.41</v>
      </c>
      <c r="M28" s="15">
        <v>241.37</v>
      </c>
      <c r="N28" s="15">
        <f t="shared" si="2"/>
        <v>4980.04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65</v>
      </c>
      <c r="D29" s="8" t="s">
        <v>13</v>
      </c>
      <c r="E29" s="2" t="s">
        <v>32</v>
      </c>
      <c r="F29" s="15">
        <v>4500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66</v>
      </c>
      <c r="D30" s="1" t="s">
        <v>67</v>
      </c>
      <c r="E30" s="2" t="s">
        <v>32</v>
      </c>
      <c r="F30" s="15">
        <v>4158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23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23"/>
      <c r="N36" s="4"/>
      <c r="O36" s="4"/>
    </row>
  </sheetData>
  <mergeCells count="14">
    <mergeCell ref="G11:G12"/>
    <mergeCell ref="A11:A12"/>
    <mergeCell ref="B11:B12"/>
    <mergeCell ref="D11:D12"/>
    <mergeCell ref="E11:E12"/>
    <mergeCell ref="F11:F12"/>
    <mergeCell ref="O11:P11"/>
    <mergeCell ref="H11:H12"/>
    <mergeCell ref="I11:I12"/>
    <mergeCell ref="J11:J12"/>
    <mergeCell ref="K11:K12"/>
    <mergeCell ref="L11:L12"/>
    <mergeCell ref="N11:N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56EE9-FA80-4420-808D-F21FC2614E18}">
  <dimension ref="A1:P36"/>
  <sheetViews>
    <sheetView showGridLines="0" topLeftCell="A10" zoomScale="85" zoomScaleNormal="85" workbookViewId="0">
      <selection activeCell="M11" sqref="M11:M12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22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22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22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22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22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22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22"/>
      <c r="N7" s="10"/>
      <c r="O7" s="10"/>
      <c r="P7" s="10"/>
    </row>
    <row r="8" spans="1:16" ht="18.75" x14ac:dyDescent="0.3">
      <c r="A8" s="10" t="s">
        <v>64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22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23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23"/>
    </row>
    <row r="11" spans="1:16" ht="30" customHeight="1" x14ac:dyDescent="0.25">
      <c r="A11" s="26" t="s">
        <v>19</v>
      </c>
      <c r="B11" s="27" t="s">
        <v>20</v>
      </c>
      <c r="C11" s="19" t="s">
        <v>21</v>
      </c>
      <c r="D11" s="28" t="s">
        <v>22</v>
      </c>
      <c r="E11" s="29" t="s">
        <v>23</v>
      </c>
      <c r="F11" s="26" t="s">
        <v>33</v>
      </c>
      <c r="G11" s="26" t="s">
        <v>34</v>
      </c>
      <c r="H11" s="26" t="s">
        <v>36</v>
      </c>
      <c r="I11" s="26" t="s">
        <v>35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31" t="s">
        <v>29</v>
      </c>
      <c r="P11" s="32"/>
    </row>
    <row r="12" spans="1:16" ht="48" customHeight="1" x14ac:dyDescent="0.25">
      <c r="A12" s="26"/>
      <c r="B12" s="27"/>
      <c r="C12" s="19" t="s">
        <v>31</v>
      </c>
      <c r="D12" s="28"/>
      <c r="E12" s="30"/>
      <c r="F12" s="26"/>
      <c r="G12" s="26"/>
      <c r="H12" s="26"/>
      <c r="I12" s="27"/>
      <c r="J12" s="26"/>
      <c r="K12" s="27"/>
      <c r="L12" s="27"/>
      <c r="M12" s="27"/>
      <c r="N12" s="27"/>
      <c r="O12" s="18" t="s">
        <v>30</v>
      </c>
      <c r="P12" s="18" t="s">
        <v>37</v>
      </c>
    </row>
    <row r="13" spans="1:16" ht="30" customHeight="1" x14ac:dyDescent="0.25">
      <c r="A13" s="1">
        <v>1</v>
      </c>
      <c r="B13" s="16" t="s">
        <v>16</v>
      </c>
      <c r="C13" s="8" t="s">
        <v>50</v>
      </c>
      <c r="D13" s="1" t="s">
        <v>51</v>
      </c>
      <c r="E13" s="2" t="s">
        <v>32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>
        <v>38803.550000000003</v>
      </c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52</v>
      </c>
      <c r="D14" s="1" t="s">
        <v>53</v>
      </c>
      <c r="E14" s="2" t="s">
        <v>32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16</v>
      </c>
      <c r="C15" s="9" t="s">
        <v>54</v>
      </c>
      <c r="D15" s="1" t="s">
        <v>55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16</v>
      </c>
      <c r="C16" s="9" t="s">
        <v>43</v>
      </c>
      <c r="D16" s="1" t="s">
        <v>17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16</v>
      </c>
      <c r="C17" s="9" t="s">
        <v>44</v>
      </c>
      <c r="D17" s="1" t="s">
        <v>18</v>
      </c>
      <c r="E17" s="2" t="s">
        <v>32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56</v>
      </c>
      <c r="D18" s="1" t="s">
        <v>0</v>
      </c>
      <c r="E18" s="2" t="s">
        <v>32</v>
      </c>
      <c r="F18" s="15">
        <v>8025</v>
      </c>
      <c r="G18" s="15"/>
      <c r="H18" s="15">
        <v>2250</v>
      </c>
      <c r="I18" s="15"/>
      <c r="J18" s="15">
        <v>0</v>
      </c>
      <c r="K18" s="15"/>
      <c r="L18" s="15">
        <f>SUM(F18:K18)</f>
        <v>10275</v>
      </c>
      <c r="M18" s="15">
        <v>908.03</v>
      </c>
      <c r="N18" s="15">
        <f>+L18-M18</f>
        <v>9366.9699999999993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38</v>
      </c>
      <c r="E19" s="2" t="s">
        <v>32</v>
      </c>
      <c r="F19" s="15">
        <f>10966+767.62</f>
        <v>11733.62</v>
      </c>
      <c r="G19" s="15"/>
      <c r="H19" s="15">
        <v>1550</v>
      </c>
      <c r="I19" s="15">
        <v>0</v>
      </c>
      <c r="J19" s="15">
        <v>375</v>
      </c>
      <c r="K19" s="15"/>
      <c r="L19" s="15">
        <f t="shared" ref="L19:L28" si="1">SUM(F19:K19)</f>
        <v>13658.62</v>
      </c>
      <c r="M19" s="15">
        <v>1029.92</v>
      </c>
      <c r="N19" s="15">
        <f>+L19-M19</f>
        <v>12628.7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39</v>
      </c>
      <c r="D20" s="8" t="s">
        <v>40</v>
      </c>
      <c r="E20" s="2" t="s">
        <v>32</v>
      </c>
      <c r="F20" s="15">
        <f>7500+525</f>
        <v>8025</v>
      </c>
      <c r="G20" s="15"/>
      <c r="H20" s="15">
        <v>1500</v>
      </c>
      <c r="I20" s="15">
        <v>0</v>
      </c>
      <c r="J20" s="15">
        <v>375</v>
      </c>
      <c r="K20" s="15"/>
      <c r="L20" s="15">
        <f t="shared" si="1"/>
        <v>9900</v>
      </c>
      <c r="M20" s="15">
        <f>387.61+126+292.72</f>
        <v>806.33</v>
      </c>
      <c r="N20" s="15">
        <f t="shared" ref="N20:N28" si="2">+L20-M20</f>
        <v>9093.67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9</v>
      </c>
      <c r="D21" s="1" t="s">
        <v>2</v>
      </c>
      <c r="E21" s="2" t="s">
        <v>32</v>
      </c>
      <c r="F21" s="15">
        <f>4243+297</f>
        <v>4540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1"/>
        <v>6590</v>
      </c>
      <c r="M21" s="15">
        <v>420.35</v>
      </c>
      <c r="N21" s="15">
        <f t="shared" si="2"/>
        <v>6169.65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41</v>
      </c>
      <c r="D22" s="1" t="s">
        <v>3</v>
      </c>
      <c r="E22" s="2" t="s">
        <v>32</v>
      </c>
      <c r="F22" s="15">
        <f>3384.59+236.96</f>
        <v>3621.55</v>
      </c>
      <c r="G22" s="15"/>
      <c r="H22" s="15">
        <v>1550</v>
      </c>
      <c r="I22" s="15">
        <v>0</v>
      </c>
      <c r="J22" s="15">
        <v>0</v>
      </c>
      <c r="K22" s="15"/>
      <c r="L22" s="15">
        <f t="shared" si="1"/>
        <v>5171.55</v>
      </c>
      <c r="M22" s="15">
        <v>304.32</v>
      </c>
      <c r="N22" s="15">
        <f t="shared" si="2"/>
        <v>4867.2300000000005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42</v>
      </c>
      <c r="D23" s="1" t="s">
        <v>1</v>
      </c>
      <c r="E23" s="2" t="s">
        <v>32</v>
      </c>
      <c r="F23" s="15">
        <f>3531+247.17</f>
        <v>3778.17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1"/>
        <v>5328.17</v>
      </c>
      <c r="M23" s="15">
        <v>173.19</v>
      </c>
      <c r="N23" s="15">
        <f t="shared" si="2"/>
        <v>5154.9800000000005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10</v>
      </c>
      <c r="D24" s="1" t="s">
        <v>49</v>
      </c>
      <c r="E24" s="2" t="s">
        <v>32</v>
      </c>
      <c r="F24" s="15">
        <f>5697+398.79</f>
        <v>6095.79</v>
      </c>
      <c r="G24" s="15"/>
      <c r="H24" s="15">
        <v>1800</v>
      </c>
      <c r="I24" s="15">
        <v>500</v>
      </c>
      <c r="J24" s="15"/>
      <c r="K24" s="15"/>
      <c r="L24" s="15">
        <f>SUM(F24:K24)</f>
        <v>8395.7900000000009</v>
      </c>
      <c r="M24" s="15">
        <v>510.6</v>
      </c>
      <c r="N24" s="15">
        <f t="shared" si="2"/>
        <v>7885.1900000000005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11</v>
      </c>
      <c r="D25" s="1" t="s">
        <v>4</v>
      </c>
      <c r="E25" s="2" t="s">
        <v>32</v>
      </c>
      <c r="F25" s="15">
        <f>7392+517.44</f>
        <v>7909.4400000000005</v>
      </c>
      <c r="G25" s="15"/>
      <c r="H25" s="15">
        <v>2300</v>
      </c>
      <c r="I25" s="15">
        <v>500</v>
      </c>
      <c r="J25" s="15"/>
      <c r="K25" s="15"/>
      <c r="L25" s="15">
        <f t="shared" si="1"/>
        <v>10709.44</v>
      </c>
      <c r="M25" s="15">
        <v>706.66</v>
      </c>
      <c r="N25" s="15">
        <f t="shared" si="2"/>
        <v>10002.780000000001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7</v>
      </c>
      <c r="C26" s="8" t="s">
        <v>47</v>
      </c>
      <c r="D26" s="1" t="s">
        <v>48</v>
      </c>
      <c r="E26" s="2" t="s">
        <v>32</v>
      </c>
      <c r="F26" s="15">
        <f>6750+472.5</f>
        <v>7222.5</v>
      </c>
      <c r="G26" s="15"/>
      <c r="H26" s="15">
        <v>250</v>
      </c>
      <c r="I26" s="15">
        <v>0</v>
      </c>
      <c r="J26" s="15"/>
      <c r="K26" s="15"/>
      <c r="L26" s="15">
        <f t="shared" si="1"/>
        <v>7472.5</v>
      </c>
      <c r="M26" s="15">
        <v>500.78</v>
      </c>
      <c r="N26" s="15">
        <f t="shared" si="2"/>
        <v>6971.72</v>
      </c>
      <c r="O26" s="15"/>
      <c r="P26" s="15"/>
    </row>
    <row r="27" spans="1:16" ht="30" customHeight="1" x14ac:dyDescent="0.25">
      <c r="A27" s="1">
        <v>15</v>
      </c>
      <c r="B27" s="2" t="s">
        <v>7</v>
      </c>
      <c r="C27" s="8" t="s">
        <v>12</v>
      </c>
      <c r="D27" s="1" t="s">
        <v>5</v>
      </c>
      <c r="E27" s="2" t="s">
        <v>32</v>
      </c>
      <c r="F27" s="15">
        <f>3384.59+236.92</f>
        <v>3621.51</v>
      </c>
      <c r="G27" s="15">
        <v>784.62</v>
      </c>
      <c r="H27" s="15">
        <v>1550</v>
      </c>
      <c r="I27" s="15">
        <v>0</v>
      </c>
      <c r="J27" s="15"/>
      <c r="K27" s="15"/>
      <c r="L27" s="15">
        <f t="shared" si="1"/>
        <v>5956.13</v>
      </c>
      <c r="M27" s="15">
        <v>278.52999999999997</v>
      </c>
      <c r="N27" s="15">
        <f t="shared" si="2"/>
        <v>5677.6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45</v>
      </c>
      <c r="D28" s="1" t="s">
        <v>46</v>
      </c>
      <c r="E28" s="2" t="s">
        <v>32</v>
      </c>
      <c r="F28" s="15">
        <f>3384.59+236.92</f>
        <v>3621.51</v>
      </c>
      <c r="G28" s="15">
        <v>716.73</v>
      </c>
      <c r="H28" s="15">
        <v>1449</v>
      </c>
      <c r="I28" s="15"/>
      <c r="J28" s="15"/>
      <c r="K28" s="15"/>
      <c r="L28" s="15">
        <f t="shared" si="1"/>
        <v>5787.24</v>
      </c>
      <c r="M28" s="15">
        <v>268.7</v>
      </c>
      <c r="N28" s="15">
        <f t="shared" si="2"/>
        <v>5518.54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65</v>
      </c>
      <c r="D29" s="8" t="s">
        <v>13</v>
      </c>
      <c r="E29" s="2" t="s">
        <v>32</v>
      </c>
      <c r="F29" s="15">
        <v>4500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66</v>
      </c>
      <c r="D30" s="1" t="s">
        <v>67</v>
      </c>
      <c r="E30" s="2" t="s">
        <v>32</v>
      </c>
      <c r="F30" s="15">
        <v>8307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23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23"/>
      <c r="N36" s="4"/>
      <c r="O36" s="4"/>
    </row>
  </sheetData>
  <mergeCells count="14">
    <mergeCell ref="G11:G12"/>
    <mergeCell ref="A11:A12"/>
    <mergeCell ref="B11:B12"/>
    <mergeCell ref="D11:D12"/>
    <mergeCell ref="E11:E12"/>
    <mergeCell ref="F11:F12"/>
    <mergeCell ref="O11:P11"/>
    <mergeCell ref="H11:H12"/>
    <mergeCell ref="I11:I12"/>
    <mergeCell ref="J11:J12"/>
    <mergeCell ref="K11:K12"/>
    <mergeCell ref="L11:L12"/>
    <mergeCell ref="N11:N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722C-C591-4789-83AE-5BEC8EFF01CA}">
  <dimension ref="A1:P36"/>
  <sheetViews>
    <sheetView showGridLines="0" topLeftCell="B8" zoomScale="85" zoomScaleNormal="85" workbookViewId="0">
      <pane xSplit="2" ySplit="5" topLeftCell="D13" activePane="bottomRight" state="frozen"/>
      <selection activeCell="B8" sqref="B8"/>
      <selection pane="topRight" activeCell="D8" sqref="D8"/>
      <selection pane="bottomLeft" activeCell="B13" sqref="B13"/>
      <selection pane="bottomRight" activeCell="M11" sqref="M11:M12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22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22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22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22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22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22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22"/>
      <c r="N7" s="10"/>
      <c r="O7" s="10"/>
      <c r="P7" s="10"/>
    </row>
    <row r="8" spans="1:16" ht="18.75" x14ac:dyDescent="0.3">
      <c r="A8" s="10" t="s">
        <v>68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22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23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23"/>
    </row>
    <row r="11" spans="1:16" ht="30" customHeight="1" x14ac:dyDescent="0.25">
      <c r="A11" s="26" t="s">
        <v>19</v>
      </c>
      <c r="B11" s="27" t="s">
        <v>20</v>
      </c>
      <c r="C11" s="19" t="s">
        <v>21</v>
      </c>
      <c r="D11" s="28" t="s">
        <v>22</v>
      </c>
      <c r="E11" s="29" t="s">
        <v>23</v>
      </c>
      <c r="F11" s="26" t="s">
        <v>33</v>
      </c>
      <c r="G11" s="26" t="s">
        <v>34</v>
      </c>
      <c r="H11" s="26" t="s">
        <v>36</v>
      </c>
      <c r="I11" s="26" t="s">
        <v>35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31" t="s">
        <v>29</v>
      </c>
      <c r="P11" s="32"/>
    </row>
    <row r="12" spans="1:16" ht="48" customHeight="1" x14ac:dyDescent="0.25">
      <c r="A12" s="26"/>
      <c r="B12" s="27"/>
      <c r="C12" s="19" t="s">
        <v>31</v>
      </c>
      <c r="D12" s="28"/>
      <c r="E12" s="30"/>
      <c r="F12" s="26"/>
      <c r="G12" s="26"/>
      <c r="H12" s="26"/>
      <c r="I12" s="27"/>
      <c r="J12" s="26"/>
      <c r="K12" s="27"/>
      <c r="L12" s="27"/>
      <c r="M12" s="27"/>
      <c r="N12" s="27"/>
      <c r="O12" s="18" t="s">
        <v>30</v>
      </c>
      <c r="P12" s="18" t="s">
        <v>37</v>
      </c>
    </row>
    <row r="13" spans="1:16" ht="30" customHeight="1" x14ac:dyDescent="0.25">
      <c r="A13" s="1">
        <v>1</v>
      </c>
      <c r="B13" s="16" t="s">
        <v>16</v>
      </c>
      <c r="C13" s="8" t="s">
        <v>50</v>
      </c>
      <c r="D13" s="1" t="s">
        <v>51</v>
      </c>
      <c r="E13" s="2" t="s">
        <v>32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52</v>
      </c>
      <c r="D14" s="1" t="s">
        <v>53</v>
      </c>
      <c r="E14" s="2" t="s">
        <v>32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16</v>
      </c>
      <c r="C15" s="9" t="s">
        <v>54</v>
      </c>
      <c r="D15" s="1" t="s">
        <v>55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16</v>
      </c>
      <c r="C16" s="9" t="s">
        <v>43</v>
      </c>
      <c r="D16" s="1" t="s">
        <v>17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16</v>
      </c>
      <c r="C17" s="9" t="s">
        <v>44</v>
      </c>
      <c r="D17" s="1" t="s">
        <v>18</v>
      </c>
      <c r="E17" s="2" t="s">
        <v>32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56</v>
      </c>
      <c r="D18" s="1" t="s">
        <v>0</v>
      </c>
      <c r="E18" s="2" t="s">
        <v>32</v>
      </c>
      <c r="F18" s="15">
        <v>8025</v>
      </c>
      <c r="G18" s="15"/>
      <c r="H18" s="15">
        <v>4500</v>
      </c>
      <c r="I18" s="15"/>
      <c r="J18" s="15">
        <v>0</v>
      </c>
      <c r="K18" s="15"/>
      <c r="L18" s="15">
        <f>SUM(F18:K18)</f>
        <v>12525</v>
      </c>
      <c r="M18" s="15">
        <v>908.03</v>
      </c>
      <c r="N18" s="15">
        <f>+L18-M18</f>
        <v>11616.97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38</v>
      </c>
      <c r="E19" s="2" t="s">
        <v>32</v>
      </c>
      <c r="F19" s="15">
        <f>10966+767.62</f>
        <v>11733.62</v>
      </c>
      <c r="G19" s="15"/>
      <c r="H19" s="15">
        <v>1550</v>
      </c>
      <c r="I19" s="15">
        <v>0</v>
      </c>
      <c r="J19" s="15">
        <v>375</v>
      </c>
      <c r="K19" s="15"/>
      <c r="L19" s="15">
        <f t="shared" ref="L19:L28" si="1">SUM(F19:K19)</f>
        <v>13658.62</v>
      </c>
      <c r="M19" s="15">
        <v>1029.92</v>
      </c>
      <c r="N19" s="15">
        <f>+L19-M19</f>
        <v>12628.7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39</v>
      </c>
      <c r="D20" s="8" t="s">
        <v>40</v>
      </c>
      <c r="E20" s="2" t="s">
        <v>32</v>
      </c>
      <c r="F20" s="15">
        <f>7500+525</f>
        <v>8025</v>
      </c>
      <c r="G20" s="15"/>
      <c r="H20" s="15">
        <v>1500</v>
      </c>
      <c r="I20" s="15">
        <v>0</v>
      </c>
      <c r="J20" s="15">
        <v>375</v>
      </c>
      <c r="K20" s="15"/>
      <c r="L20" s="15">
        <f t="shared" si="1"/>
        <v>9900</v>
      </c>
      <c r="M20" s="15">
        <f>387.61+126+292.72</f>
        <v>806.33</v>
      </c>
      <c r="N20" s="15">
        <f t="shared" ref="N20:N28" si="2">+L20-M20</f>
        <v>9093.67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9</v>
      </c>
      <c r="D21" s="1" t="s">
        <v>2</v>
      </c>
      <c r="E21" s="2" t="s">
        <v>32</v>
      </c>
      <c r="F21" s="15">
        <f>4243+297</f>
        <v>4540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1"/>
        <v>6590</v>
      </c>
      <c r="M21" s="15">
        <v>432.06</v>
      </c>
      <c r="N21" s="15">
        <f t="shared" si="2"/>
        <v>6157.94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41</v>
      </c>
      <c r="D22" s="1" t="s">
        <v>3</v>
      </c>
      <c r="E22" s="2" t="s">
        <v>32</v>
      </c>
      <c r="F22" s="15">
        <f>3384.59+236.96</f>
        <v>3621.55</v>
      </c>
      <c r="G22" s="15">
        <v>165.99</v>
      </c>
      <c r="H22" s="15">
        <v>1550</v>
      </c>
      <c r="I22" s="15">
        <v>0</v>
      </c>
      <c r="J22" s="15">
        <v>0</v>
      </c>
      <c r="K22" s="15"/>
      <c r="L22" s="15">
        <f t="shared" si="1"/>
        <v>5337.54</v>
      </c>
      <c r="M22" s="15">
        <v>313.93</v>
      </c>
      <c r="N22" s="15">
        <f t="shared" si="2"/>
        <v>5023.6099999999997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42</v>
      </c>
      <c r="D23" s="1" t="s">
        <v>1</v>
      </c>
      <c r="E23" s="2" t="s">
        <v>32</v>
      </c>
      <c r="F23" s="15">
        <f>3531+247.17</f>
        <v>3778.17</v>
      </c>
      <c r="G23" s="15"/>
      <c r="H23" s="15">
        <v>1550</v>
      </c>
      <c r="I23" s="15">
        <v>0</v>
      </c>
      <c r="J23" s="15">
        <v>0</v>
      </c>
      <c r="K23" s="15"/>
      <c r="L23" s="15">
        <f t="shared" si="1"/>
        <v>5328.17</v>
      </c>
      <c r="M23" s="15">
        <v>259.60000000000002</v>
      </c>
      <c r="N23" s="15">
        <f t="shared" si="2"/>
        <v>5068.57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10</v>
      </c>
      <c r="D24" s="1" t="s">
        <v>49</v>
      </c>
      <c r="E24" s="2" t="s">
        <v>32</v>
      </c>
      <c r="F24" s="15">
        <f>5697+398.79</f>
        <v>6095.79</v>
      </c>
      <c r="G24" s="15">
        <v>304.8</v>
      </c>
      <c r="H24" s="15">
        <v>1800</v>
      </c>
      <c r="I24" s="15">
        <v>500</v>
      </c>
      <c r="J24" s="15"/>
      <c r="K24" s="15"/>
      <c r="L24" s="15">
        <f>SUM(F24:K24)</f>
        <v>8700.59</v>
      </c>
      <c r="M24" s="15">
        <v>528.23</v>
      </c>
      <c r="N24" s="15">
        <f t="shared" si="2"/>
        <v>8172.3600000000006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11</v>
      </c>
      <c r="D25" s="1" t="s">
        <v>4</v>
      </c>
      <c r="E25" s="2" t="s">
        <v>32</v>
      </c>
      <c r="F25" s="15">
        <f>7392+517.44</f>
        <v>7909.4400000000005</v>
      </c>
      <c r="G25" s="15">
        <v>395.46</v>
      </c>
      <c r="H25" s="15">
        <v>2300</v>
      </c>
      <c r="I25" s="15">
        <v>500</v>
      </c>
      <c r="J25" s="15"/>
      <c r="K25" s="15"/>
      <c r="L25" s="15">
        <f t="shared" si="1"/>
        <v>11104.9</v>
      </c>
      <c r="M25" s="15">
        <v>729.52</v>
      </c>
      <c r="N25" s="15">
        <f t="shared" si="2"/>
        <v>10375.379999999999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7</v>
      </c>
      <c r="C26" s="8" t="s">
        <v>47</v>
      </c>
      <c r="D26" s="1" t="s">
        <v>48</v>
      </c>
      <c r="E26" s="2" t="s">
        <v>32</v>
      </c>
      <c r="F26" s="15">
        <f>6750+472.5</f>
        <v>7222.5</v>
      </c>
      <c r="G26" s="15"/>
      <c r="H26" s="15">
        <v>250</v>
      </c>
      <c r="I26" s="15">
        <v>0</v>
      </c>
      <c r="J26" s="15"/>
      <c r="K26" s="15"/>
      <c r="L26" s="15">
        <f t="shared" si="1"/>
        <v>7472.5</v>
      </c>
      <c r="M26" s="15">
        <v>500.78</v>
      </c>
      <c r="N26" s="15">
        <f t="shared" si="2"/>
        <v>6971.72</v>
      </c>
      <c r="O26" s="15"/>
      <c r="P26" s="15"/>
    </row>
    <row r="27" spans="1:16" ht="30" customHeight="1" x14ac:dyDescent="0.25">
      <c r="A27" s="1">
        <v>15</v>
      </c>
      <c r="B27" s="2" t="s">
        <v>7</v>
      </c>
      <c r="C27" s="8" t="s">
        <v>12</v>
      </c>
      <c r="D27" s="1" t="s">
        <v>5</v>
      </c>
      <c r="E27" s="2" t="s">
        <v>32</v>
      </c>
      <c r="F27" s="15">
        <f>3384.59+236.92</f>
        <v>3621.51</v>
      </c>
      <c r="G27" s="15">
        <v>165.99</v>
      </c>
      <c r="H27" s="15">
        <v>1550</v>
      </c>
      <c r="I27" s="15">
        <v>0</v>
      </c>
      <c r="J27" s="15"/>
      <c r="K27" s="15"/>
      <c r="L27" s="15">
        <f t="shared" si="1"/>
        <v>5337.5</v>
      </c>
      <c r="M27" s="15">
        <v>257.69</v>
      </c>
      <c r="N27" s="15">
        <f t="shared" si="2"/>
        <v>5079.8100000000004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45</v>
      </c>
      <c r="D28" s="1" t="s">
        <v>46</v>
      </c>
      <c r="E28" s="2" t="s">
        <v>32</v>
      </c>
      <c r="F28" s="15">
        <f>3384.59+236.92</f>
        <v>3621.51</v>
      </c>
      <c r="G28" s="15">
        <v>165.99</v>
      </c>
      <c r="H28" s="15">
        <v>1549</v>
      </c>
      <c r="I28" s="15"/>
      <c r="J28" s="15"/>
      <c r="K28" s="15"/>
      <c r="L28" s="15">
        <f t="shared" si="1"/>
        <v>5336.5</v>
      </c>
      <c r="M28" s="15">
        <v>250.5</v>
      </c>
      <c r="N28" s="15">
        <f t="shared" si="2"/>
        <v>5086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65</v>
      </c>
      <c r="D29" s="8" t="s">
        <v>13</v>
      </c>
      <c r="E29" s="2" t="s">
        <v>32</v>
      </c>
      <c r="F29" s="15">
        <v>4500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66</v>
      </c>
      <c r="D30" s="1" t="s">
        <v>67</v>
      </c>
      <c r="E30" s="2" t="s">
        <v>32</v>
      </c>
      <c r="F30" s="15">
        <v>8307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23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23"/>
      <c r="N36" s="4"/>
      <c r="O36" s="4"/>
    </row>
  </sheetData>
  <mergeCells count="14">
    <mergeCell ref="G11:G12"/>
    <mergeCell ref="A11:A12"/>
    <mergeCell ref="B11:B12"/>
    <mergeCell ref="D11:D12"/>
    <mergeCell ref="E11:E12"/>
    <mergeCell ref="F11:F12"/>
    <mergeCell ref="O11:P11"/>
    <mergeCell ref="H11:H12"/>
    <mergeCell ref="I11:I12"/>
    <mergeCell ref="J11:J12"/>
    <mergeCell ref="K11:K12"/>
    <mergeCell ref="L11:L12"/>
    <mergeCell ref="N11:N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8D6A-34C9-4B1C-A08B-5069F42D9206}">
  <dimension ref="A1:P37"/>
  <sheetViews>
    <sheetView showGridLines="0" topLeftCell="B8" zoomScale="85" zoomScaleNormal="85" workbookViewId="0">
      <pane xSplit="2" ySplit="5" topLeftCell="D13" activePane="bottomRight" state="frozen"/>
      <selection activeCell="B8" sqref="B8"/>
      <selection pane="topRight" activeCell="D8" sqref="D8"/>
      <selection pane="bottomLeft" activeCell="B13" sqref="B13"/>
      <selection pane="bottomRight" activeCell="M11" sqref="M11:M12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22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22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22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22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22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22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22"/>
      <c r="N7" s="10"/>
      <c r="O7" s="10"/>
      <c r="P7" s="10"/>
    </row>
    <row r="8" spans="1:16" ht="18.75" x14ac:dyDescent="0.3">
      <c r="A8" s="10" t="s">
        <v>70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22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23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23"/>
    </row>
    <row r="11" spans="1:16" ht="30" customHeight="1" x14ac:dyDescent="0.25">
      <c r="A11" s="26" t="s">
        <v>19</v>
      </c>
      <c r="B11" s="27" t="s">
        <v>20</v>
      </c>
      <c r="C11" s="19" t="s">
        <v>21</v>
      </c>
      <c r="D11" s="28" t="s">
        <v>22</v>
      </c>
      <c r="E11" s="29" t="s">
        <v>23</v>
      </c>
      <c r="F11" s="26" t="s">
        <v>33</v>
      </c>
      <c r="G11" s="26" t="s">
        <v>34</v>
      </c>
      <c r="H11" s="26" t="s">
        <v>36</v>
      </c>
      <c r="I11" s="26" t="s">
        <v>35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31" t="s">
        <v>29</v>
      </c>
      <c r="P11" s="32"/>
    </row>
    <row r="12" spans="1:16" ht="48" customHeight="1" x14ac:dyDescent="0.25">
      <c r="A12" s="26"/>
      <c r="B12" s="27"/>
      <c r="C12" s="19" t="s">
        <v>31</v>
      </c>
      <c r="D12" s="28"/>
      <c r="E12" s="30"/>
      <c r="F12" s="26"/>
      <c r="G12" s="26"/>
      <c r="H12" s="26"/>
      <c r="I12" s="27"/>
      <c r="J12" s="26"/>
      <c r="K12" s="27"/>
      <c r="L12" s="27"/>
      <c r="M12" s="27"/>
      <c r="N12" s="27"/>
      <c r="O12" s="18" t="s">
        <v>30</v>
      </c>
      <c r="P12" s="18" t="s">
        <v>37</v>
      </c>
    </row>
    <row r="13" spans="1:16" ht="30" customHeight="1" x14ac:dyDescent="0.25">
      <c r="A13" s="1">
        <v>1</v>
      </c>
      <c r="B13" s="16" t="s">
        <v>16</v>
      </c>
      <c r="C13" s="8" t="s">
        <v>50</v>
      </c>
      <c r="D13" s="1" t="s">
        <v>51</v>
      </c>
      <c r="E13" s="2" t="s">
        <v>32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52</v>
      </c>
      <c r="D14" s="1" t="s">
        <v>53</v>
      </c>
      <c r="E14" s="2" t="s">
        <v>32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7" si="0">A14+1</f>
        <v>3</v>
      </c>
      <c r="B15" s="16" t="s">
        <v>16</v>
      </c>
      <c r="C15" s="9" t="s">
        <v>54</v>
      </c>
      <c r="D15" s="1" t="s">
        <v>55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16</v>
      </c>
      <c r="C16" s="9" t="s">
        <v>43</v>
      </c>
      <c r="D16" s="1" t="s">
        <v>17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16</v>
      </c>
      <c r="C17" s="9" t="s">
        <v>44</v>
      </c>
      <c r="D17" s="1" t="s">
        <v>18</v>
      </c>
      <c r="E17" s="2" t="s">
        <v>32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56</v>
      </c>
      <c r="D18" s="1" t="s">
        <v>0</v>
      </c>
      <c r="E18" s="2" t="s">
        <v>32</v>
      </c>
      <c r="F18" s="15">
        <v>8025</v>
      </c>
      <c r="G18" s="15"/>
      <c r="H18" s="15">
        <v>4500</v>
      </c>
      <c r="I18" s="15"/>
      <c r="J18" s="15">
        <v>0</v>
      </c>
      <c r="K18" s="15"/>
      <c r="L18" s="15">
        <f>SUM(F18:K18)</f>
        <v>12525</v>
      </c>
      <c r="M18" s="15">
        <v>908.03</v>
      </c>
      <c r="N18" s="15">
        <f>+L18-M18</f>
        <v>11616.97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38</v>
      </c>
      <c r="E19" s="2" t="s">
        <v>32</v>
      </c>
      <c r="F19" s="15">
        <f>10966+767.62</f>
        <v>11733.62</v>
      </c>
      <c r="G19" s="24">
        <v>586.67999999999995</v>
      </c>
      <c r="H19" s="15">
        <v>1550</v>
      </c>
      <c r="I19" s="15">
        <v>0</v>
      </c>
      <c r="J19" s="15">
        <v>375</v>
      </c>
      <c r="K19" s="15"/>
      <c r="L19" s="15">
        <f t="shared" ref="L19:L29" si="1">SUM(F19:K19)</f>
        <v>14245.300000000001</v>
      </c>
      <c r="M19" s="15">
        <v>1058.26</v>
      </c>
      <c r="N19" s="15">
        <f>+L19-M19</f>
        <v>13187.04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39</v>
      </c>
      <c r="D20" s="8" t="s">
        <v>40</v>
      </c>
      <c r="E20" s="2" t="s">
        <v>32</v>
      </c>
      <c r="F20" s="15">
        <f>(7500+525)/2</f>
        <v>4012.5</v>
      </c>
      <c r="G20" s="15"/>
      <c r="H20" s="15">
        <f>1500/2</f>
        <v>750</v>
      </c>
      <c r="I20" s="15">
        <v>0</v>
      </c>
      <c r="J20" s="15">
        <f>375/2</f>
        <v>187.5</v>
      </c>
      <c r="K20" s="15"/>
      <c r="L20" s="15">
        <f t="shared" si="1"/>
        <v>4950</v>
      </c>
      <c r="M20" s="15">
        <f>193.8+126+292.72</f>
        <v>612.52</v>
      </c>
      <c r="N20" s="15">
        <f t="shared" ref="N20:N29" si="2">+L20-M20</f>
        <v>4337.4799999999996</v>
      </c>
      <c r="O20" s="25" t="s">
        <v>72</v>
      </c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69</v>
      </c>
      <c r="D21" s="8" t="s">
        <v>40</v>
      </c>
      <c r="E21" s="2" t="s">
        <v>32</v>
      </c>
      <c r="F21" s="15">
        <f>(7500+525)/2</f>
        <v>4012.5</v>
      </c>
      <c r="G21" s="15"/>
      <c r="H21" s="15">
        <f>1500/2</f>
        <v>750</v>
      </c>
      <c r="I21" s="15">
        <v>0</v>
      </c>
      <c r="J21" s="15"/>
      <c r="K21" s="15"/>
      <c r="L21" s="15">
        <f t="shared" ref="L21" si="3">SUM(F21:K21)</f>
        <v>4762.5</v>
      </c>
      <c r="M21" s="15">
        <v>193.8</v>
      </c>
      <c r="N21" s="15">
        <f t="shared" ref="N21" si="4">+L21-M21</f>
        <v>4568.7</v>
      </c>
      <c r="O21" s="25" t="s">
        <v>71</v>
      </c>
      <c r="P21" s="15"/>
    </row>
    <row r="22" spans="1:16" ht="30" customHeight="1" x14ac:dyDescent="0.25">
      <c r="A22" s="1">
        <f>A20+1</f>
        <v>9</v>
      </c>
      <c r="B22" s="2" t="s">
        <v>7</v>
      </c>
      <c r="C22" s="8" t="s">
        <v>9</v>
      </c>
      <c r="D22" s="1" t="s">
        <v>2</v>
      </c>
      <c r="E22" s="2" t="s">
        <v>32</v>
      </c>
      <c r="F22" s="15">
        <f>4243+297</f>
        <v>4540</v>
      </c>
      <c r="G22" s="15"/>
      <c r="H22" s="15">
        <v>1550</v>
      </c>
      <c r="I22" s="15">
        <v>500</v>
      </c>
      <c r="J22" s="15">
        <v>0</v>
      </c>
      <c r="K22" s="15"/>
      <c r="L22" s="15">
        <f t="shared" si="1"/>
        <v>6590</v>
      </c>
      <c r="M22" s="15">
        <v>432.06</v>
      </c>
      <c r="N22" s="15">
        <f t="shared" si="2"/>
        <v>6157.94</v>
      </c>
      <c r="O22" s="15"/>
      <c r="P22" s="15"/>
    </row>
    <row r="23" spans="1:16" ht="30" customHeight="1" x14ac:dyDescent="0.25">
      <c r="A23" s="1">
        <f t="shared" si="0"/>
        <v>10</v>
      </c>
      <c r="B23" s="2" t="s">
        <v>7</v>
      </c>
      <c r="C23" s="8" t="s">
        <v>41</v>
      </c>
      <c r="D23" s="1" t="s">
        <v>3</v>
      </c>
      <c r="E23" s="2" t="s">
        <v>32</v>
      </c>
      <c r="F23" s="15">
        <f>3384.59+236.96</f>
        <v>3621.55</v>
      </c>
      <c r="G23" s="15">
        <v>181.08</v>
      </c>
      <c r="H23" s="15">
        <v>1550</v>
      </c>
      <c r="I23" s="15">
        <v>0</v>
      </c>
      <c r="J23" s="15">
        <v>0</v>
      </c>
      <c r="K23" s="15"/>
      <c r="L23" s="15">
        <f t="shared" si="1"/>
        <v>5352.63</v>
      </c>
      <c r="M23" s="15">
        <f>183.67+66.32+64.67</f>
        <v>314.65999999999997</v>
      </c>
      <c r="N23" s="15">
        <f t="shared" si="2"/>
        <v>5037.97</v>
      </c>
      <c r="O23" s="15"/>
      <c r="P23" s="15"/>
    </row>
    <row r="24" spans="1:16" ht="30" customHeight="1" x14ac:dyDescent="0.25">
      <c r="A24" s="1">
        <f t="shared" si="0"/>
        <v>11</v>
      </c>
      <c r="B24" s="2" t="s">
        <v>7</v>
      </c>
      <c r="C24" s="8" t="s">
        <v>42</v>
      </c>
      <c r="D24" s="1" t="s">
        <v>1</v>
      </c>
      <c r="E24" s="2" t="s">
        <v>32</v>
      </c>
      <c r="F24" s="15">
        <f>3531+247.17</f>
        <v>3778.17</v>
      </c>
      <c r="G24" s="15"/>
      <c r="H24" s="15">
        <v>1550</v>
      </c>
      <c r="I24" s="15">
        <v>0</v>
      </c>
      <c r="J24" s="15">
        <v>0</v>
      </c>
      <c r="K24" s="15"/>
      <c r="L24" s="15">
        <f t="shared" si="1"/>
        <v>5328.17</v>
      </c>
      <c r="M24" s="15">
        <f>182.49+69.78</f>
        <v>252.27</v>
      </c>
      <c r="N24" s="15">
        <f t="shared" si="2"/>
        <v>5075.8999999999996</v>
      </c>
      <c r="O24" s="15"/>
      <c r="P24" s="15"/>
    </row>
    <row r="25" spans="1:16" ht="30" customHeight="1" x14ac:dyDescent="0.25">
      <c r="A25" s="1">
        <f t="shared" si="0"/>
        <v>12</v>
      </c>
      <c r="B25" s="2" t="s">
        <v>7</v>
      </c>
      <c r="C25" s="8" t="s">
        <v>10</v>
      </c>
      <c r="D25" s="1" t="s">
        <v>49</v>
      </c>
      <c r="E25" s="2" t="s">
        <v>32</v>
      </c>
      <c r="F25" s="15">
        <f>5697+398.79</f>
        <v>6095.79</v>
      </c>
      <c r="G25" s="15">
        <v>1123.95</v>
      </c>
      <c r="H25" s="15">
        <v>1800</v>
      </c>
      <c r="I25" s="15">
        <v>500</v>
      </c>
      <c r="J25" s="15"/>
      <c r="K25" s="15"/>
      <c r="L25" s="15">
        <f>SUM(F25:K25)</f>
        <v>9519.74</v>
      </c>
      <c r="M25" s="15">
        <f>348.71+219.08</f>
        <v>567.79</v>
      </c>
      <c r="N25" s="15">
        <f t="shared" si="2"/>
        <v>8951.9500000000007</v>
      </c>
      <c r="O25" s="15"/>
      <c r="P25" s="15"/>
    </row>
    <row r="26" spans="1:16" ht="30" customHeight="1" x14ac:dyDescent="0.25">
      <c r="A26" s="1">
        <f t="shared" si="0"/>
        <v>13</v>
      </c>
      <c r="B26" s="2" t="s">
        <v>7</v>
      </c>
      <c r="C26" s="8" t="s">
        <v>11</v>
      </c>
      <c r="D26" s="1" t="s">
        <v>4</v>
      </c>
      <c r="E26" s="2" t="s">
        <v>32</v>
      </c>
      <c r="F26" s="15">
        <f>7392+517.44</f>
        <v>7909.4400000000005</v>
      </c>
      <c r="G26" s="15">
        <v>444.89</v>
      </c>
      <c r="H26" s="15">
        <v>2300</v>
      </c>
      <c r="I26" s="15">
        <v>500</v>
      </c>
      <c r="J26" s="15"/>
      <c r="K26" s="15"/>
      <c r="L26" s="15">
        <f t="shared" si="1"/>
        <v>11154.33</v>
      </c>
      <c r="M26" s="15">
        <f>403.51+328.39</f>
        <v>731.9</v>
      </c>
      <c r="N26" s="15">
        <f t="shared" si="2"/>
        <v>10422.43</v>
      </c>
      <c r="O26" s="15"/>
      <c r="P26" s="15"/>
    </row>
    <row r="27" spans="1:16" ht="30" customHeight="1" x14ac:dyDescent="0.25">
      <c r="A27" s="1">
        <f t="shared" si="0"/>
        <v>14</v>
      </c>
      <c r="B27" s="2" t="s">
        <v>7</v>
      </c>
      <c r="C27" s="8" t="s">
        <v>47</v>
      </c>
      <c r="D27" s="1" t="s">
        <v>48</v>
      </c>
      <c r="E27" s="2" t="s">
        <v>32</v>
      </c>
      <c r="F27" s="15">
        <f>6750+472.5</f>
        <v>7222.5</v>
      </c>
      <c r="G27" s="15"/>
      <c r="H27" s="15">
        <v>250</v>
      </c>
      <c r="I27" s="15">
        <v>0</v>
      </c>
      <c r="J27" s="15"/>
      <c r="K27" s="15"/>
      <c r="L27" s="15">
        <f t="shared" si="1"/>
        <v>7472.5</v>
      </c>
      <c r="M27" s="15">
        <v>500.78</v>
      </c>
      <c r="N27" s="15">
        <f t="shared" si="2"/>
        <v>6971.72</v>
      </c>
      <c r="O27" s="15"/>
      <c r="P27" s="15"/>
    </row>
    <row r="28" spans="1:16" ht="30" customHeight="1" x14ac:dyDescent="0.25">
      <c r="A28" s="1">
        <v>15</v>
      </c>
      <c r="B28" s="2" t="s">
        <v>7</v>
      </c>
      <c r="C28" s="8" t="s">
        <v>12</v>
      </c>
      <c r="D28" s="1" t="s">
        <v>5</v>
      </c>
      <c r="E28" s="2" t="s">
        <v>32</v>
      </c>
      <c r="F28" s="15">
        <f>3384.59+236.92</f>
        <v>3621.51</v>
      </c>
      <c r="G28" s="15">
        <v>203.71</v>
      </c>
      <c r="H28" s="15">
        <v>1550</v>
      </c>
      <c r="I28" s="15">
        <v>0</v>
      </c>
      <c r="J28" s="15"/>
      <c r="K28" s="15"/>
      <c r="L28" s="15">
        <f t="shared" si="1"/>
        <v>5375.22</v>
      </c>
      <c r="M28" s="15">
        <f>184.76+74.75</f>
        <v>259.51</v>
      </c>
      <c r="N28" s="15">
        <f t="shared" si="2"/>
        <v>5115.71</v>
      </c>
      <c r="O28" s="15"/>
      <c r="P28" s="15"/>
    </row>
    <row r="29" spans="1:16" ht="30" customHeight="1" x14ac:dyDescent="0.25">
      <c r="A29" s="1">
        <v>16</v>
      </c>
      <c r="B29" s="2">
        <v>11</v>
      </c>
      <c r="C29" s="8" t="s">
        <v>45</v>
      </c>
      <c r="D29" s="1" t="s">
        <v>46</v>
      </c>
      <c r="E29" s="2" t="s">
        <v>32</v>
      </c>
      <c r="F29" s="15">
        <f>3384.59+236.92</f>
        <v>3621.51</v>
      </c>
      <c r="G29" s="15">
        <v>203.71</v>
      </c>
      <c r="H29" s="15">
        <v>1549</v>
      </c>
      <c r="I29" s="15"/>
      <c r="J29" s="15"/>
      <c r="K29" s="15"/>
      <c r="L29" s="15">
        <f t="shared" si="1"/>
        <v>5374.22</v>
      </c>
      <c r="M29" s="15">
        <f>184.76+67.56</f>
        <v>252.32</v>
      </c>
      <c r="N29" s="15">
        <f t="shared" si="2"/>
        <v>5121.9000000000005</v>
      </c>
      <c r="O29" s="15"/>
      <c r="P29" s="15"/>
    </row>
    <row r="30" spans="1:16" ht="30" customHeight="1" x14ac:dyDescent="0.25">
      <c r="A30" s="1">
        <v>17</v>
      </c>
      <c r="B30" s="2">
        <v>184</v>
      </c>
      <c r="C30" s="8" t="s">
        <v>65</v>
      </c>
      <c r="D30" s="8" t="s">
        <v>13</v>
      </c>
      <c r="E30" s="2" t="s">
        <v>32</v>
      </c>
      <c r="F30" s="15">
        <v>4500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30" customHeight="1" x14ac:dyDescent="0.25">
      <c r="A31" s="1">
        <v>18</v>
      </c>
      <c r="B31" s="2">
        <v>183</v>
      </c>
      <c r="C31" s="8" t="s">
        <v>66</v>
      </c>
      <c r="D31" s="1" t="s">
        <v>67</v>
      </c>
      <c r="E31" s="2" t="s">
        <v>32</v>
      </c>
      <c r="F31" s="15">
        <v>8307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3" spans="1:16" ht="15" customHeight="1" x14ac:dyDescent="0.25"/>
    <row r="35" spans="1:16" s="6" customFormat="1" ht="0.95" customHeight="1" x14ac:dyDescent="0.25">
      <c r="A35"/>
      <c r="B3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20"/>
    </row>
    <row r="36" spans="1:16" x14ac:dyDescent="0.25">
      <c r="C36" s="7" t="s">
        <v>14</v>
      </c>
      <c r="D36" s="4"/>
      <c r="E36" s="4"/>
      <c r="F36" s="4"/>
      <c r="G36" s="4"/>
      <c r="H36" s="4"/>
      <c r="I36" s="4"/>
      <c r="J36" s="4"/>
      <c r="K36" s="4"/>
      <c r="L36" s="4"/>
      <c r="M36" s="23"/>
      <c r="N36" s="4"/>
      <c r="O36" s="4"/>
    </row>
    <row r="37" spans="1:16" x14ac:dyDescent="0.25">
      <c r="B37" s="5"/>
      <c r="C37" s="7" t="s">
        <v>58</v>
      </c>
      <c r="D37" s="4"/>
      <c r="E37" s="4"/>
      <c r="F37" s="4"/>
      <c r="G37" s="4"/>
      <c r="H37" s="4"/>
      <c r="I37" s="4"/>
      <c r="J37" s="4"/>
      <c r="K37" s="4"/>
      <c r="L37" s="4"/>
      <c r="M37" s="23"/>
      <c r="N37" s="4"/>
      <c r="O37" s="4"/>
    </row>
  </sheetData>
  <mergeCells count="14">
    <mergeCell ref="O11:P11"/>
    <mergeCell ref="H11:H12"/>
    <mergeCell ref="I11:I12"/>
    <mergeCell ref="J11:J12"/>
    <mergeCell ref="K11:K12"/>
    <mergeCell ref="L11:L12"/>
    <mergeCell ref="N11:N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1B32-1A7B-4A9F-83F8-B3C9FE3F402F}">
  <dimension ref="A1:P36"/>
  <sheetViews>
    <sheetView showGridLines="0" topLeftCell="B8" zoomScale="85" zoomScaleNormal="85" workbookViewId="0">
      <pane xSplit="2" ySplit="5" topLeftCell="D13" activePane="bottomRight" state="frozen"/>
      <selection activeCell="B8" sqref="B8"/>
      <selection pane="topRight" activeCell="D8" sqref="D8"/>
      <selection pane="bottomLeft" activeCell="B13" sqref="B13"/>
      <selection pane="bottomRight" activeCell="I29" sqref="I29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22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22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22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22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22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22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22"/>
      <c r="N7" s="10"/>
      <c r="O7" s="10"/>
      <c r="P7" s="10"/>
    </row>
    <row r="8" spans="1:16" ht="18.75" x14ac:dyDescent="0.3">
      <c r="A8" s="10" t="s">
        <v>73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22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23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23"/>
    </row>
    <row r="11" spans="1:16" ht="30" customHeight="1" x14ac:dyDescent="0.25">
      <c r="A11" s="26" t="s">
        <v>19</v>
      </c>
      <c r="B11" s="27" t="s">
        <v>20</v>
      </c>
      <c r="C11" s="19" t="s">
        <v>21</v>
      </c>
      <c r="D11" s="28" t="s">
        <v>22</v>
      </c>
      <c r="E11" s="29" t="s">
        <v>23</v>
      </c>
      <c r="F11" s="26" t="s">
        <v>33</v>
      </c>
      <c r="G11" s="26" t="s">
        <v>34</v>
      </c>
      <c r="H11" s="26" t="s">
        <v>36</v>
      </c>
      <c r="I11" s="26" t="s">
        <v>35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31" t="s">
        <v>29</v>
      </c>
      <c r="P11" s="32"/>
    </row>
    <row r="12" spans="1:16" ht="48" customHeight="1" x14ac:dyDescent="0.25">
      <c r="A12" s="26"/>
      <c r="B12" s="27"/>
      <c r="C12" s="19" t="s">
        <v>31</v>
      </c>
      <c r="D12" s="28"/>
      <c r="E12" s="30"/>
      <c r="F12" s="26"/>
      <c r="G12" s="26"/>
      <c r="H12" s="26"/>
      <c r="I12" s="27"/>
      <c r="J12" s="26"/>
      <c r="K12" s="27"/>
      <c r="L12" s="27"/>
      <c r="M12" s="27"/>
      <c r="N12" s="27"/>
      <c r="O12" s="18" t="s">
        <v>30</v>
      </c>
      <c r="P12" s="18" t="s">
        <v>37</v>
      </c>
    </row>
    <row r="13" spans="1:16" ht="30" x14ac:dyDescent="0.25">
      <c r="A13" s="1">
        <v>1</v>
      </c>
      <c r="B13" s="16" t="s">
        <v>16</v>
      </c>
      <c r="C13" s="8" t="s">
        <v>50</v>
      </c>
      <c r="D13" s="1" t="s">
        <v>51</v>
      </c>
      <c r="E13" s="2" t="s">
        <v>32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52</v>
      </c>
      <c r="D14" s="1" t="s">
        <v>53</v>
      </c>
      <c r="E14" s="2" t="s">
        <v>32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16</v>
      </c>
      <c r="C15" s="9" t="s">
        <v>54</v>
      </c>
      <c r="D15" s="1" t="s">
        <v>55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16</v>
      </c>
      <c r="C16" s="9" t="s">
        <v>43</v>
      </c>
      <c r="D16" s="1" t="s">
        <v>17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16</v>
      </c>
      <c r="C17" s="9" t="s">
        <v>44</v>
      </c>
      <c r="D17" s="1" t="s">
        <v>18</v>
      </c>
      <c r="E17" s="2" t="s">
        <v>32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56</v>
      </c>
      <c r="D18" s="1" t="s">
        <v>0</v>
      </c>
      <c r="E18" s="2" t="s">
        <v>32</v>
      </c>
      <c r="F18" s="15">
        <v>8025</v>
      </c>
      <c r="G18" s="15">
        <v>50.16</v>
      </c>
      <c r="H18" s="15">
        <v>4500</v>
      </c>
      <c r="I18" s="15">
        <v>1000</v>
      </c>
      <c r="J18" s="15">
        <v>0</v>
      </c>
      <c r="K18" s="15"/>
      <c r="L18" s="15">
        <f>SUM(F18:K18)</f>
        <v>13575.16</v>
      </c>
      <c r="M18" s="15">
        <v>910.45</v>
      </c>
      <c r="N18" s="15">
        <f>+L18-M18</f>
        <v>12664.71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38</v>
      </c>
      <c r="E19" s="2" t="s">
        <v>32</v>
      </c>
      <c r="F19" s="15">
        <f>10966+767.62</f>
        <v>11733.62</v>
      </c>
      <c r="G19" s="24">
        <v>660.02</v>
      </c>
      <c r="H19" s="15">
        <v>1550</v>
      </c>
      <c r="I19" s="15">
        <v>1000</v>
      </c>
      <c r="J19" s="15">
        <v>375</v>
      </c>
      <c r="K19" s="15"/>
      <c r="L19" s="15">
        <f t="shared" ref="L19:L28" si="1">SUM(F19:K19)</f>
        <v>15318.640000000001</v>
      </c>
      <c r="M19" s="15">
        <v>1061.8</v>
      </c>
      <c r="N19" s="15">
        <f>+L19-M19</f>
        <v>14256.840000000002</v>
      </c>
      <c r="O19" s="15"/>
      <c r="P19" s="15"/>
    </row>
    <row r="20" spans="1:16" ht="30" customHeight="1" x14ac:dyDescent="0.25">
      <c r="A20" s="1" t="e">
        <f>#REF!+1</f>
        <v>#REF!</v>
      </c>
      <c r="B20" s="2" t="s">
        <v>7</v>
      </c>
      <c r="C20" s="8" t="s">
        <v>69</v>
      </c>
      <c r="D20" s="8" t="s">
        <v>40</v>
      </c>
      <c r="E20" s="2" t="s">
        <v>32</v>
      </c>
      <c r="F20" s="15">
        <v>8025</v>
      </c>
      <c r="G20" s="15">
        <v>50.16</v>
      </c>
      <c r="H20" s="15">
        <v>1500</v>
      </c>
      <c r="I20" s="15">
        <v>1000</v>
      </c>
      <c r="J20" s="15"/>
      <c r="K20" s="15"/>
      <c r="L20" s="15">
        <f t="shared" ref="L20" si="2">SUM(F20:K20)</f>
        <v>10575.16</v>
      </c>
      <c r="M20" s="15">
        <f>390.03+126</f>
        <v>516.03</v>
      </c>
      <c r="N20" s="15">
        <f t="shared" ref="N20:N28" si="3">+L20-M20</f>
        <v>10059.129999999999</v>
      </c>
      <c r="O20" s="25"/>
      <c r="P20" s="15"/>
    </row>
    <row r="21" spans="1:16" ht="30" customHeight="1" x14ac:dyDescent="0.25">
      <c r="A21" s="1" t="e">
        <f>#REF!+1</f>
        <v>#REF!</v>
      </c>
      <c r="B21" s="2" t="s">
        <v>7</v>
      </c>
      <c r="C21" s="8" t="s">
        <v>9</v>
      </c>
      <c r="D21" s="1" t="s">
        <v>2</v>
      </c>
      <c r="E21" s="2" t="s">
        <v>32</v>
      </c>
      <c r="F21" s="15">
        <f>4243+297</f>
        <v>4540</v>
      </c>
      <c r="G21" s="15"/>
      <c r="H21" s="15">
        <v>1550</v>
      </c>
      <c r="I21" s="15">
        <f>1000+500</f>
        <v>1500</v>
      </c>
      <c r="J21" s="15">
        <v>0</v>
      </c>
      <c r="K21" s="15"/>
      <c r="L21" s="15">
        <f t="shared" si="1"/>
        <v>7590</v>
      </c>
      <c r="M21" s="15">
        <v>432.06</v>
      </c>
      <c r="N21" s="15">
        <f t="shared" si="3"/>
        <v>7157.94</v>
      </c>
      <c r="O21" s="15"/>
      <c r="P21" s="15"/>
    </row>
    <row r="22" spans="1:16" ht="30" customHeight="1" x14ac:dyDescent="0.25">
      <c r="A22" s="1" t="e">
        <f t="shared" si="0"/>
        <v>#REF!</v>
      </c>
      <c r="B22" s="2" t="s">
        <v>7</v>
      </c>
      <c r="C22" s="8" t="s">
        <v>41</v>
      </c>
      <c r="D22" s="1" t="s">
        <v>3</v>
      </c>
      <c r="E22" s="2" t="s">
        <v>32</v>
      </c>
      <c r="F22" s="15">
        <f>3384.59+236.96</f>
        <v>3621.55</v>
      </c>
      <c r="G22" s="15">
        <v>203.71</v>
      </c>
      <c r="H22" s="15">
        <v>1550</v>
      </c>
      <c r="I22" s="15">
        <v>1000</v>
      </c>
      <c r="J22" s="15">
        <v>0</v>
      </c>
      <c r="K22" s="15"/>
      <c r="L22" s="15">
        <f t="shared" si="1"/>
        <v>6375.26</v>
      </c>
      <c r="M22" s="15">
        <v>315.75</v>
      </c>
      <c r="N22" s="15">
        <f t="shared" si="3"/>
        <v>6059.51</v>
      </c>
      <c r="O22" s="15"/>
      <c r="P22" s="15"/>
    </row>
    <row r="23" spans="1:16" ht="30" customHeight="1" x14ac:dyDescent="0.25">
      <c r="A23" s="1" t="e">
        <f t="shared" si="0"/>
        <v>#REF!</v>
      </c>
      <c r="B23" s="2" t="s">
        <v>7</v>
      </c>
      <c r="C23" s="8" t="s">
        <v>42</v>
      </c>
      <c r="D23" s="1" t="s">
        <v>1</v>
      </c>
      <c r="E23" s="2" t="s">
        <v>32</v>
      </c>
      <c r="F23" s="15">
        <f>3531+247.17</f>
        <v>3778.17</v>
      </c>
      <c r="G23" s="15">
        <v>11.81</v>
      </c>
      <c r="H23" s="15">
        <v>1550</v>
      </c>
      <c r="I23" s="15">
        <v>1000</v>
      </c>
      <c r="J23" s="15">
        <v>0</v>
      </c>
      <c r="K23" s="15"/>
      <c r="L23" s="15">
        <f t="shared" si="1"/>
        <v>6339.98</v>
      </c>
      <c r="M23" s="15">
        <v>252.84</v>
      </c>
      <c r="N23" s="15">
        <f t="shared" si="3"/>
        <v>6087.1399999999994</v>
      </c>
      <c r="O23" s="15"/>
      <c r="P23" s="15"/>
    </row>
    <row r="24" spans="1:16" ht="30" customHeight="1" x14ac:dyDescent="0.25">
      <c r="A24" s="1" t="e">
        <f t="shared" si="0"/>
        <v>#REF!</v>
      </c>
      <c r="B24" s="2" t="s">
        <v>7</v>
      </c>
      <c r="C24" s="8" t="s">
        <v>10</v>
      </c>
      <c r="D24" s="1" t="s">
        <v>49</v>
      </c>
      <c r="E24" s="2" t="s">
        <v>32</v>
      </c>
      <c r="F24" s="15">
        <f>5697+398.79</f>
        <v>6095.79</v>
      </c>
      <c r="G24" s="15">
        <v>0</v>
      </c>
      <c r="H24" s="15">
        <v>1800</v>
      </c>
      <c r="I24" s="15">
        <f>1000+500</f>
        <v>1500</v>
      </c>
      <c r="J24" s="15"/>
      <c r="K24" s="15"/>
      <c r="L24" s="15">
        <f>SUM(F24:K24)</f>
        <v>9395.7900000000009</v>
      </c>
      <c r="M24" s="15">
        <v>513.51</v>
      </c>
      <c r="N24" s="15">
        <f t="shared" si="3"/>
        <v>8882.2800000000007</v>
      </c>
      <c r="O24" s="15"/>
      <c r="P24" s="15"/>
    </row>
    <row r="25" spans="1:16" ht="30" customHeight="1" x14ac:dyDescent="0.25">
      <c r="A25" s="1" t="e">
        <f t="shared" si="0"/>
        <v>#REF!</v>
      </c>
      <c r="B25" s="2" t="s">
        <v>7</v>
      </c>
      <c r="C25" s="8" t="s">
        <v>11</v>
      </c>
      <c r="D25" s="1" t="s">
        <v>4</v>
      </c>
      <c r="E25" s="2" t="s">
        <v>32</v>
      </c>
      <c r="F25" s="15">
        <f>7392+517.44</f>
        <v>7909.4400000000005</v>
      </c>
      <c r="G25" s="15">
        <v>395.46</v>
      </c>
      <c r="H25" s="15">
        <v>2300</v>
      </c>
      <c r="I25" s="15">
        <f>1000+500</f>
        <v>1500</v>
      </c>
      <c r="J25" s="15"/>
      <c r="K25" s="15"/>
      <c r="L25" s="15">
        <f t="shared" si="1"/>
        <v>12104.9</v>
      </c>
      <c r="M25" s="15">
        <v>729.52</v>
      </c>
      <c r="N25" s="15">
        <f t="shared" si="3"/>
        <v>11375.38</v>
      </c>
      <c r="O25" s="15"/>
      <c r="P25" s="15"/>
    </row>
    <row r="26" spans="1:16" ht="30" customHeight="1" x14ac:dyDescent="0.25">
      <c r="A26" s="1" t="e">
        <f t="shared" si="0"/>
        <v>#REF!</v>
      </c>
      <c r="B26" s="2" t="s">
        <v>7</v>
      </c>
      <c r="C26" s="8" t="s">
        <v>47</v>
      </c>
      <c r="D26" s="1" t="s">
        <v>48</v>
      </c>
      <c r="E26" s="2" t="s">
        <v>32</v>
      </c>
      <c r="F26" s="15">
        <f>6750+472.5</f>
        <v>7222.5</v>
      </c>
      <c r="G26" s="15"/>
      <c r="H26" s="15">
        <v>250</v>
      </c>
      <c r="I26" s="15">
        <v>1000</v>
      </c>
      <c r="J26" s="15"/>
      <c r="K26" s="15"/>
      <c r="L26" s="15">
        <f t="shared" si="1"/>
        <v>8472.5</v>
      </c>
      <c r="M26" s="15">
        <v>500.78</v>
      </c>
      <c r="N26" s="15">
        <f t="shared" si="3"/>
        <v>7971.72</v>
      </c>
      <c r="O26" s="15"/>
      <c r="P26" s="15"/>
    </row>
    <row r="27" spans="1:16" ht="30" customHeight="1" x14ac:dyDescent="0.25">
      <c r="A27" s="1">
        <v>15</v>
      </c>
      <c r="B27" s="2" t="s">
        <v>7</v>
      </c>
      <c r="C27" s="8" t="s">
        <v>12</v>
      </c>
      <c r="D27" s="1" t="s">
        <v>5</v>
      </c>
      <c r="E27" s="2" t="s">
        <v>32</v>
      </c>
      <c r="F27" s="15">
        <f>3384.59+236.92</f>
        <v>3621.51</v>
      </c>
      <c r="G27" s="15">
        <v>211.26</v>
      </c>
      <c r="H27" s="15">
        <v>1550</v>
      </c>
      <c r="I27" s="15">
        <v>1000</v>
      </c>
      <c r="J27" s="15"/>
      <c r="K27" s="15"/>
      <c r="L27" s="15">
        <f t="shared" si="1"/>
        <v>6382.77</v>
      </c>
      <c r="M27" s="15">
        <v>259.87</v>
      </c>
      <c r="N27" s="15">
        <f t="shared" si="3"/>
        <v>6122.9000000000005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45</v>
      </c>
      <c r="D28" s="1" t="s">
        <v>46</v>
      </c>
      <c r="E28" s="2" t="s">
        <v>32</v>
      </c>
      <c r="F28" s="15">
        <f>3384.59+236.92</f>
        <v>3621.51</v>
      </c>
      <c r="G28" s="15">
        <v>196.17</v>
      </c>
      <c r="H28" s="15">
        <v>1549</v>
      </c>
      <c r="I28" s="15">
        <v>1000</v>
      </c>
      <c r="J28" s="15"/>
      <c r="K28" s="15"/>
      <c r="L28" s="15">
        <f t="shared" si="1"/>
        <v>6366.68</v>
      </c>
      <c r="M28" s="15">
        <v>251.95</v>
      </c>
      <c r="N28" s="15">
        <f t="shared" si="3"/>
        <v>6114.7300000000005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65</v>
      </c>
      <c r="D29" s="8" t="s">
        <v>13</v>
      </c>
      <c r="E29" s="2" t="s">
        <v>32</v>
      </c>
      <c r="F29" s="15">
        <v>4500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66</v>
      </c>
      <c r="D30" s="1" t="s">
        <v>67</v>
      </c>
      <c r="E30" s="2" t="s">
        <v>32</v>
      </c>
      <c r="F30" s="15">
        <v>8307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23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23"/>
      <c r="N36" s="4"/>
      <c r="O36" s="4"/>
    </row>
  </sheetData>
  <mergeCells count="14">
    <mergeCell ref="O11:P11"/>
    <mergeCell ref="H11:H12"/>
    <mergeCell ref="I11:I12"/>
    <mergeCell ref="J11:J12"/>
    <mergeCell ref="K11:K12"/>
    <mergeCell ref="L11:L12"/>
    <mergeCell ref="N11:N12"/>
    <mergeCell ref="G11:G12"/>
    <mergeCell ref="M11:M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CE21-2BE7-4974-9AB1-013B5FA6B42A}">
  <dimension ref="A1:P36"/>
  <sheetViews>
    <sheetView showGridLines="0" tabSelected="1" topLeftCell="B8" zoomScale="85" zoomScaleNormal="85" workbookViewId="0">
      <pane xSplit="2" ySplit="5" topLeftCell="D13" activePane="bottomRight" state="frozen"/>
      <selection activeCell="B8" sqref="B8"/>
      <selection pane="topRight" activeCell="D8" sqref="D8"/>
      <selection pane="bottomLeft" activeCell="B13" sqref="B13"/>
      <selection pane="bottomRight" activeCell="D8" sqref="D8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22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22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22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22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22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22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22"/>
      <c r="N7" s="10"/>
      <c r="O7" s="10"/>
      <c r="P7" s="10"/>
    </row>
    <row r="8" spans="1:16" ht="18.75" x14ac:dyDescent="0.3">
      <c r="A8" s="10" t="s">
        <v>75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22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23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23"/>
    </row>
    <row r="11" spans="1:16" ht="30" customHeight="1" x14ac:dyDescent="0.25">
      <c r="A11" s="26" t="s">
        <v>19</v>
      </c>
      <c r="B11" s="27" t="s">
        <v>20</v>
      </c>
      <c r="C11" s="19" t="s">
        <v>21</v>
      </c>
      <c r="D11" s="28" t="s">
        <v>22</v>
      </c>
      <c r="E11" s="29" t="s">
        <v>23</v>
      </c>
      <c r="F11" s="26" t="s">
        <v>33</v>
      </c>
      <c r="G11" s="26" t="s">
        <v>34</v>
      </c>
      <c r="H11" s="26" t="s">
        <v>36</v>
      </c>
      <c r="I11" s="26" t="s">
        <v>35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31" t="s">
        <v>29</v>
      </c>
      <c r="P11" s="32"/>
    </row>
    <row r="12" spans="1:16" ht="48" customHeight="1" x14ac:dyDescent="0.25">
      <c r="A12" s="26"/>
      <c r="B12" s="27"/>
      <c r="C12" s="19" t="s">
        <v>31</v>
      </c>
      <c r="D12" s="28"/>
      <c r="E12" s="30"/>
      <c r="F12" s="26"/>
      <c r="G12" s="26"/>
      <c r="H12" s="26"/>
      <c r="I12" s="27"/>
      <c r="J12" s="26"/>
      <c r="K12" s="27"/>
      <c r="L12" s="27"/>
      <c r="M12" s="27"/>
      <c r="N12" s="27"/>
      <c r="O12" s="18" t="s">
        <v>30</v>
      </c>
      <c r="P12" s="18" t="s">
        <v>37</v>
      </c>
    </row>
    <row r="13" spans="1:16" ht="30" x14ac:dyDescent="0.25">
      <c r="A13" s="1">
        <v>1</v>
      </c>
      <c r="B13" s="16" t="s">
        <v>16</v>
      </c>
      <c r="C13" s="8" t="s">
        <v>50</v>
      </c>
      <c r="D13" s="1" t="s">
        <v>51</v>
      </c>
      <c r="E13" s="2" t="s">
        <v>32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52</v>
      </c>
      <c r="D14" s="1" t="s">
        <v>53</v>
      </c>
      <c r="E14" s="2" t="s">
        <v>32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16</v>
      </c>
      <c r="C15" s="9" t="s">
        <v>54</v>
      </c>
      <c r="D15" s="1" t="s">
        <v>55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16</v>
      </c>
      <c r="C16" s="9" t="s">
        <v>43</v>
      </c>
      <c r="D16" s="1" t="s">
        <v>17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16</v>
      </c>
      <c r="C17" s="9" t="s">
        <v>44</v>
      </c>
      <c r="D17" s="1" t="s">
        <v>18</v>
      </c>
      <c r="E17" s="2" t="s">
        <v>32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56</v>
      </c>
      <c r="D18" s="1" t="s">
        <v>0</v>
      </c>
      <c r="E18" s="2" t="s">
        <v>32</v>
      </c>
      <c r="F18" s="15">
        <v>8025</v>
      </c>
      <c r="G18" s="15">
        <v>518.32000000000005</v>
      </c>
      <c r="H18" s="15">
        <v>4500</v>
      </c>
      <c r="I18" s="15"/>
      <c r="J18" s="15">
        <v>0</v>
      </c>
      <c r="K18" s="15"/>
      <c r="L18" s="15">
        <f>SUM(F18:K18)</f>
        <v>13043.32</v>
      </c>
      <c r="M18" s="15">
        <f>412.64+520.42</f>
        <v>933.06</v>
      </c>
      <c r="N18" s="15">
        <f>+L18-M18</f>
        <v>12110.26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38</v>
      </c>
      <c r="E19" s="2" t="s">
        <v>32</v>
      </c>
      <c r="F19" s="15">
        <f>10966+767.62</f>
        <v>11733.62</v>
      </c>
      <c r="G19" s="24">
        <v>708.91</v>
      </c>
      <c r="H19" s="15">
        <v>1550</v>
      </c>
      <c r="I19" s="15"/>
      <c r="J19" s="15">
        <v>375</v>
      </c>
      <c r="K19" s="15"/>
      <c r="L19" s="15">
        <f t="shared" ref="L19:L28" si="1">SUM(F19:K19)</f>
        <v>14367.53</v>
      </c>
      <c r="M19" s="15">
        <f>600.97+463.19</f>
        <v>1064.1600000000001</v>
      </c>
      <c r="N19" s="15">
        <f>+L19-M19</f>
        <v>13303.37</v>
      </c>
      <c r="O19" s="15"/>
      <c r="P19" s="15"/>
    </row>
    <row r="20" spans="1:16" ht="30" customHeight="1" x14ac:dyDescent="0.25">
      <c r="A20" s="1" t="e">
        <f>#REF!+1</f>
        <v>#REF!</v>
      </c>
      <c r="B20" s="2" t="s">
        <v>7</v>
      </c>
      <c r="C20" s="8" t="s">
        <v>69</v>
      </c>
      <c r="D20" s="8" t="s">
        <v>40</v>
      </c>
      <c r="E20" s="2" t="s">
        <v>32</v>
      </c>
      <c r="F20" s="15">
        <v>8025</v>
      </c>
      <c r="G20" s="15">
        <v>234.08</v>
      </c>
      <c r="H20" s="15">
        <v>1500</v>
      </c>
      <c r="I20" s="15"/>
      <c r="J20" s="15"/>
      <c r="K20" s="15"/>
      <c r="L20" s="15">
        <f t="shared" si="1"/>
        <v>9759.08</v>
      </c>
      <c r="M20" s="15">
        <f>398.91+115.92</f>
        <v>514.83000000000004</v>
      </c>
      <c r="N20" s="15">
        <f t="shared" ref="N20:N28" si="2">+L20-M20</f>
        <v>9244.25</v>
      </c>
      <c r="O20" s="25"/>
      <c r="P20" s="15"/>
    </row>
    <row r="21" spans="1:16" ht="30" customHeight="1" x14ac:dyDescent="0.25">
      <c r="A21" s="1" t="e">
        <f>#REF!+1</f>
        <v>#REF!</v>
      </c>
      <c r="B21" s="2" t="s">
        <v>7</v>
      </c>
      <c r="C21" s="8" t="s">
        <v>9</v>
      </c>
      <c r="D21" s="1" t="s">
        <v>2</v>
      </c>
      <c r="E21" s="2" t="s">
        <v>32</v>
      </c>
      <c r="F21" s="15">
        <f>4243+297</f>
        <v>4540</v>
      </c>
      <c r="G21" s="15">
        <v>255.36</v>
      </c>
      <c r="H21" s="15">
        <v>1550</v>
      </c>
      <c r="I21" s="15">
        <v>500</v>
      </c>
      <c r="J21" s="15">
        <v>0</v>
      </c>
      <c r="K21" s="15"/>
      <c r="L21" s="15">
        <f t="shared" si="1"/>
        <v>6845.36</v>
      </c>
      <c r="M21" s="15">
        <f>231.62+84.58+128.2</f>
        <v>444.4</v>
      </c>
      <c r="N21" s="15">
        <f t="shared" si="2"/>
        <v>6400.96</v>
      </c>
      <c r="O21" s="15"/>
      <c r="P21" s="15"/>
    </row>
    <row r="22" spans="1:16" ht="30" customHeight="1" x14ac:dyDescent="0.25">
      <c r="A22" s="1" t="e">
        <f t="shared" si="0"/>
        <v>#REF!</v>
      </c>
      <c r="B22" s="2" t="s">
        <v>7</v>
      </c>
      <c r="C22" s="8" t="s">
        <v>41</v>
      </c>
      <c r="D22" s="1" t="s">
        <v>3</v>
      </c>
      <c r="E22" s="2" t="s">
        <v>32</v>
      </c>
      <c r="F22" s="15">
        <f>3384.59+236.96</f>
        <v>3621.55</v>
      </c>
      <c r="G22" s="15">
        <v>339.52</v>
      </c>
      <c r="H22" s="15">
        <v>1550</v>
      </c>
      <c r="I22" s="15"/>
      <c r="J22" s="15">
        <v>0</v>
      </c>
      <c r="K22" s="15"/>
      <c r="L22" s="15">
        <f t="shared" si="1"/>
        <v>5511.07</v>
      </c>
      <c r="M22" s="15">
        <f>191.32+66.32+64.67</f>
        <v>322.31</v>
      </c>
      <c r="N22" s="15">
        <f t="shared" si="2"/>
        <v>5188.7599999999993</v>
      </c>
      <c r="O22" s="15"/>
      <c r="P22" s="15"/>
    </row>
    <row r="23" spans="1:16" ht="30" customHeight="1" x14ac:dyDescent="0.25">
      <c r="A23" s="1" t="e">
        <f t="shared" si="0"/>
        <v>#REF!</v>
      </c>
      <c r="B23" s="2" t="s">
        <v>7</v>
      </c>
      <c r="C23" s="8" t="s">
        <v>42</v>
      </c>
      <c r="D23" s="1" t="s">
        <v>1</v>
      </c>
      <c r="E23" s="2" t="s">
        <v>32</v>
      </c>
      <c r="F23" s="15">
        <f>3531+247.17</f>
        <v>3778.17</v>
      </c>
      <c r="G23" s="15">
        <v>212.49</v>
      </c>
      <c r="H23" s="15">
        <v>1550</v>
      </c>
      <c r="I23" s="15"/>
      <c r="J23" s="15">
        <v>0</v>
      </c>
      <c r="K23" s="15"/>
      <c r="L23" s="15">
        <f t="shared" si="1"/>
        <v>5540.66</v>
      </c>
      <c r="M23" s="15">
        <f>192.75+69.78</f>
        <v>262.52999999999997</v>
      </c>
      <c r="N23" s="15">
        <f t="shared" si="2"/>
        <v>5278.13</v>
      </c>
      <c r="O23" s="15"/>
      <c r="P23" s="15"/>
    </row>
    <row r="24" spans="1:16" ht="30" customHeight="1" x14ac:dyDescent="0.25">
      <c r="A24" s="1" t="e">
        <f t="shared" si="0"/>
        <v>#REF!</v>
      </c>
      <c r="B24" s="2" t="s">
        <v>7</v>
      </c>
      <c r="C24" s="8" t="s">
        <v>10</v>
      </c>
      <c r="D24" s="1" t="s">
        <v>49</v>
      </c>
      <c r="E24" s="2" t="s">
        <v>32</v>
      </c>
      <c r="F24" s="15">
        <f>5697+398.79</f>
        <v>6095.79</v>
      </c>
      <c r="G24" s="15">
        <v>1200.1500000000001</v>
      </c>
      <c r="H24" s="15">
        <v>1800</v>
      </c>
      <c r="I24" s="15">
        <f>500</f>
        <v>500</v>
      </c>
      <c r="J24" s="15"/>
      <c r="K24" s="15"/>
      <c r="L24" s="15">
        <f>SUM(F24:K24)</f>
        <v>9595.94</v>
      </c>
      <c r="M24" s="15">
        <f>352.39+219.08</f>
        <v>571.47</v>
      </c>
      <c r="N24" s="15">
        <f t="shared" si="2"/>
        <v>9024.4700000000012</v>
      </c>
      <c r="O24" s="15"/>
      <c r="P24" s="15"/>
    </row>
    <row r="25" spans="1:16" ht="30" customHeight="1" x14ac:dyDescent="0.25">
      <c r="A25" s="1" t="e">
        <f t="shared" si="0"/>
        <v>#REF!</v>
      </c>
      <c r="B25" s="2" t="s">
        <v>7</v>
      </c>
      <c r="C25" s="8" t="s">
        <v>11</v>
      </c>
      <c r="D25" s="1" t="s">
        <v>4</v>
      </c>
      <c r="E25" s="2" t="s">
        <v>32</v>
      </c>
      <c r="F25" s="15">
        <f>7392+517.44</f>
        <v>7909.4400000000005</v>
      </c>
      <c r="G25" s="15">
        <v>840.35</v>
      </c>
      <c r="H25" s="15">
        <v>2300</v>
      </c>
      <c r="I25" s="15">
        <f>500</f>
        <v>500</v>
      </c>
      <c r="J25" s="15"/>
      <c r="K25" s="15"/>
      <c r="L25" s="15">
        <f t="shared" si="1"/>
        <v>11549.79</v>
      </c>
      <c r="M25" s="15">
        <f>422.61+328.39</f>
        <v>751</v>
      </c>
      <c r="N25" s="15">
        <f t="shared" si="2"/>
        <v>10798.79</v>
      </c>
      <c r="O25" s="15"/>
      <c r="P25" s="15"/>
    </row>
    <row r="26" spans="1:16" ht="30" customHeight="1" x14ac:dyDescent="0.25">
      <c r="A26" s="1" t="e">
        <f t="shared" si="0"/>
        <v>#REF!</v>
      </c>
      <c r="B26" s="2" t="s">
        <v>7</v>
      </c>
      <c r="C26" s="8" t="s">
        <v>47</v>
      </c>
      <c r="D26" s="1" t="s">
        <v>48</v>
      </c>
      <c r="E26" s="2" t="s">
        <v>32</v>
      </c>
      <c r="F26" s="15">
        <f>6750+472.5</f>
        <v>7222.5</v>
      </c>
      <c r="G26" s="15"/>
      <c r="H26" s="15">
        <v>250</v>
      </c>
      <c r="I26" s="15"/>
      <c r="J26" s="15"/>
      <c r="K26" s="15"/>
      <c r="L26" s="15">
        <f t="shared" si="1"/>
        <v>7472.5</v>
      </c>
      <c r="M26" s="15">
        <f>348.85+151.93</f>
        <v>500.78000000000003</v>
      </c>
      <c r="N26" s="15">
        <f t="shared" si="2"/>
        <v>6971.72</v>
      </c>
      <c r="O26" s="15"/>
      <c r="P26" s="15"/>
    </row>
    <row r="27" spans="1:16" ht="30" customHeight="1" x14ac:dyDescent="0.25">
      <c r="A27" s="1">
        <v>15</v>
      </c>
      <c r="B27" s="2" t="s">
        <v>7</v>
      </c>
      <c r="C27" s="8" t="s">
        <v>12</v>
      </c>
      <c r="D27" s="1" t="s">
        <v>5</v>
      </c>
      <c r="E27" s="2" t="s">
        <v>32</v>
      </c>
      <c r="F27" s="15">
        <f>3384.59+236.92</f>
        <v>3621.51</v>
      </c>
      <c r="G27" s="15">
        <v>181.08</v>
      </c>
      <c r="H27" s="15">
        <v>1550</v>
      </c>
      <c r="I27" s="15"/>
      <c r="J27" s="15"/>
      <c r="K27" s="15"/>
      <c r="L27" s="15">
        <f t="shared" si="1"/>
        <v>5352.59</v>
      </c>
      <c r="M27" s="15">
        <f>183.67+74.75</f>
        <v>258.41999999999996</v>
      </c>
      <c r="N27" s="15">
        <f t="shared" si="2"/>
        <v>5094.17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45</v>
      </c>
      <c r="D28" s="1" t="s">
        <v>46</v>
      </c>
      <c r="E28" s="2" t="s">
        <v>32</v>
      </c>
      <c r="F28" s="15">
        <f>3384.59+236.92</f>
        <v>3621.51</v>
      </c>
      <c r="G28" s="15">
        <v>369.7</v>
      </c>
      <c r="H28" s="15">
        <v>1549</v>
      </c>
      <c r="I28" s="15"/>
      <c r="J28" s="15"/>
      <c r="K28" s="15"/>
      <c r="L28" s="15">
        <f t="shared" si="1"/>
        <v>5540.21</v>
      </c>
      <c r="M28" s="15">
        <f>192.78+67.56</f>
        <v>260.34000000000003</v>
      </c>
      <c r="N28" s="15">
        <f t="shared" si="2"/>
        <v>5279.87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65</v>
      </c>
      <c r="D29" s="8" t="s">
        <v>13</v>
      </c>
      <c r="E29" s="2" t="s">
        <v>32</v>
      </c>
      <c r="F29" s="15">
        <v>4500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66</v>
      </c>
      <c r="D30" s="1" t="s">
        <v>67</v>
      </c>
      <c r="E30" s="2" t="s">
        <v>32</v>
      </c>
      <c r="F30" s="15">
        <v>8307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23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23"/>
      <c r="N36" s="4"/>
      <c r="O36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6484-44E9-4524-959A-5ED486089972}">
  <dimension ref="A1:P36"/>
  <sheetViews>
    <sheetView showGridLines="0" topLeftCell="B8" zoomScale="85" zoomScaleNormal="85" workbookViewId="0">
      <pane xSplit="2" ySplit="5" topLeftCell="D13" activePane="bottomRight" state="frozen"/>
      <selection activeCell="B8" sqref="B8"/>
      <selection pane="topRight" activeCell="D8" sqref="D8"/>
      <selection pane="bottomLeft" activeCell="B13" sqref="B13"/>
      <selection pane="bottomRight" activeCell="A9" sqref="A9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22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22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22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22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22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22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22"/>
      <c r="N7" s="10"/>
      <c r="O7" s="10"/>
      <c r="P7" s="10"/>
    </row>
    <row r="8" spans="1:16" ht="18.75" x14ac:dyDescent="0.3">
      <c r="A8" s="10" t="s">
        <v>74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22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23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23"/>
    </row>
    <row r="11" spans="1:16" ht="30" customHeight="1" x14ac:dyDescent="0.25">
      <c r="A11" s="26" t="s">
        <v>19</v>
      </c>
      <c r="B11" s="27" t="s">
        <v>20</v>
      </c>
      <c r="C11" s="19" t="s">
        <v>21</v>
      </c>
      <c r="D11" s="28" t="s">
        <v>22</v>
      </c>
      <c r="E11" s="29" t="s">
        <v>23</v>
      </c>
      <c r="F11" s="26" t="s">
        <v>33</v>
      </c>
      <c r="G11" s="26" t="s">
        <v>34</v>
      </c>
      <c r="H11" s="26" t="s">
        <v>36</v>
      </c>
      <c r="I11" s="26" t="s">
        <v>35</v>
      </c>
      <c r="J11" s="26" t="s">
        <v>24</v>
      </c>
      <c r="K11" s="26" t="s">
        <v>25</v>
      </c>
      <c r="L11" s="26" t="s">
        <v>26</v>
      </c>
      <c r="M11" s="26" t="s">
        <v>27</v>
      </c>
      <c r="N11" s="26" t="s">
        <v>28</v>
      </c>
      <c r="O11" s="31" t="s">
        <v>29</v>
      </c>
      <c r="P11" s="32"/>
    </row>
    <row r="12" spans="1:16" ht="48" customHeight="1" x14ac:dyDescent="0.25">
      <c r="A12" s="26"/>
      <c r="B12" s="27"/>
      <c r="C12" s="19" t="s">
        <v>31</v>
      </c>
      <c r="D12" s="28"/>
      <c r="E12" s="30"/>
      <c r="F12" s="26"/>
      <c r="G12" s="26"/>
      <c r="H12" s="26"/>
      <c r="I12" s="27"/>
      <c r="J12" s="26"/>
      <c r="K12" s="27"/>
      <c r="L12" s="27"/>
      <c r="M12" s="27"/>
      <c r="N12" s="27"/>
      <c r="O12" s="18" t="s">
        <v>30</v>
      </c>
      <c r="P12" s="18" t="s">
        <v>37</v>
      </c>
    </row>
    <row r="13" spans="1:16" ht="30" x14ac:dyDescent="0.25">
      <c r="A13" s="1">
        <v>1</v>
      </c>
      <c r="B13" s="16" t="s">
        <v>16</v>
      </c>
      <c r="C13" s="8" t="s">
        <v>50</v>
      </c>
      <c r="D13" s="1" t="s">
        <v>51</v>
      </c>
      <c r="E13" s="2" t="s">
        <v>32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52</v>
      </c>
      <c r="D14" s="1" t="s">
        <v>53</v>
      </c>
      <c r="E14" s="2" t="s">
        <v>32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16" t="s">
        <v>16</v>
      </c>
      <c r="C15" s="9" t="s">
        <v>54</v>
      </c>
      <c r="D15" s="1" t="s">
        <v>55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16" t="s">
        <v>16</v>
      </c>
      <c r="C16" s="9" t="s">
        <v>43</v>
      </c>
      <c r="D16" s="1" t="s">
        <v>17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5</v>
      </c>
      <c r="B17" s="16" t="s">
        <v>16</v>
      </c>
      <c r="C17" s="9" t="s">
        <v>44</v>
      </c>
      <c r="D17" s="1" t="s">
        <v>18</v>
      </c>
      <c r="E17" s="2" t="s">
        <v>32</v>
      </c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56</v>
      </c>
      <c r="D18" s="1" t="s">
        <v>0</v>
      </c>
      <c r="E18" s="2" t="s">
        <v>32</v>
      </c>
      <c r="F18" s="15">
        <v>8025</v>
      </c>
      <c r="G18" s="15"/>
      <c r="H18" s="15">
        <v>4500</v>
      </c>
      <c r="I18" s="15"/>
      <c r="J18" s="15">
        <v>0</v>
      </c>
      <c r="K18" s="15"/>
      <c r="L18" s="15">
        <f>SUM(F18:K18)</f>
        <v>12525</v>
      </c>
      <c r="M18" s="15">
        <v>387.61</v>
      </c>
      <c r="N18" s="15">
        <f>+L18-M18</f>
        <v>12137.39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38</v>
      </c>
      <c r="E19" s="2" t="s">
        <v>32</v>
      </c>
      <c r="F19" s="15">
        <f>10966+767.62</f>
        <v>11733.62</v>
      </c>
      <c r="G19" s="24">
        <v>1075.5999999999999</v>
      </c>
      <c r="H19" s="15">
        <v>1550</v>
      </c>
      <c r="I19" s="15"/>
      <c r="J19" s="15">
        <v>375</v>
      </c>
      <c r="K19" s="15"/>
      <c r="L19" s="15">
        <f t="shared" ref="L19:L28" si="1">SUM(F19:K19)</f>
        <v>14734.220000000001</v>
      </c>
      <c r="M19" s="15">
        <f>618.69+463.31</f>
        <v>1082</v>
      </c>
      <c r="N19" s="15">
        <f>+L19-M19</f>
        <v>13652.220000000001</v>
      </c>
      <c r="O19" s="15"/>
      <c r="P19" s="15"/>
    </row>
    <row r="20" spans="1:16" ht="30" customHeight="1" x14ac:dyDescent="0.25">
      <c r="A20" s="1" t="e">
        <f>#REF!+1</f>
        <v>#REF!</v>
      </c>
      <c r="B20" s="2" t="s">
        <v>7</v>
      </c>
      <c r="C20" s="8" t="s">
        <v>69</v>
      </c>
      <c r="D20" s="8" t="s">
        <v>40</v>
      </c>
      <c r="E20" s="2" t="s">
        <v>32</v>
      </c>
      <c r="F20" s="15">
        <v>8025</v>
      </c>
      <c r="G20" s="15"/>
      <c r="H20" s="15">
        <v>1500</v>
      </c>
      <c r="I20" s="15"/>
      <c r="J20" s="15"/>
      <c r="K20" s="15"/>
      <c r="L20" s="15">
        <f t="shared" si="1"/>
        <v>9525</v>
      </c>
      <c r="M20" s="15">
        <f>120.96+387.61</f>
        <v>508.57</v>
      </c>
      <c r="N20" s="15">
        <f t="shared" ref="N20:N28" si="2">+L20-M20</f>
        <v>9016.43</v>
      </c>
      <c r="O20" s="25"/>
      <c r="P20" s="15"/>
    </row>
    <row r="21" spans="1:16" ht="30" customHeight="1" x14ac:dyDescent="0.25">
      <c r="A21" s="1" t="e">
        <f>#REF!+1</f>
        <v>#REF!</v>
      </c>
      <c r="B21" s="2" t="s">
        <v>7</v>
      </c>
      <c r="C21" s="8" t="s">
        <v>9</v>
      </c>
      <c r="D21" s="1" t="s">
        <v>2</v>
      </c>
      <c r="E21" s="2" t="s">
        <v>32</v>
      </c>
      <c r="F21" s="15">
        <f>4243+297</f>
        <v>4540</v>
      </c>
      <c r="G21" s="15"/>
      <c r="H21" s="15">
        <v>1550</v>
      </c>
      <c r="I21" s="15">
        <f>500</f>
        <v>500</v>
      </c>
      <c r="J21" s="15">
        <v>0</v>
      </c>
      <c r="K21" s="15"/>
      <c r="L21" s="15">
        <f t="shared" si="1"/>
        <v>6590</v>
      </c>
      <c r="M21" s="15">
        <f>219.28+84.58+104.57</f>
        <v>408.43</v>
      </c>
      <c r="N21" s="15">
        <f t="shared" si="2"/>
        <v>6181.57</v>
      </c>
      <c r="O21" s="15"/>
      <c r="P21" s="15"/>
    </row>
    <row r="22" spans="1:16" ht="30" customHeight="1" x14ac:dyDescent="0.25">
      <c r="A22" s="1" t="e">
        <f t="shared" si="0"/>
        <v>#REF!</v>
      </c>
      <c r="B22" s="2" t="s">
        <v>7</v>
      </c>
      <c r="C22" s="8" t="s">
        <v>41</v>
      </c>
      <c r="D22" s="1" t="s">
        <v>3</v>
      </c>
      <c r="E22" s="2" t="s">
        <v>32</v>
      </c>
      <c r="F22" s="15">
        <f>3384.59+236.96</f>
        <v>3621.55</v>
      </c>
      <c r="G22" s="15">
        <v>513.04</v>
      </c>
      <c r="H22" s="15">
        <v>1550</v>
      </c>
      <c r="I22" s="15"/>
      <c r="J22" s="15">
        <v>0</v>
      </c>
      <c r="K22" s="15"/>
      <c r="L22" s="15">
        <f t="shared" si="1"/>
        <v>5684.59</v>
      </c>
      <c r="M22" s="15">
        <f>199.7+66.32+113.31</f>
        <v>379.33</v>
      </c>
      <c r="N22" s="15">
        <f t="shared" si="2"/>
        <v>5305.26</v>
      </c>
      <c r="O22" s="15"/>
      <c r="P22" s="15"/>
    </row>
    <row r="23" spans="1:16" ht="30" customHeight="1" x14ac:dyDescent="0.25">
      <c r="A23" s="1" t="e">
        <f t="shared" si="0"/>
        <v>#REF!</v>
      </c>
      <c r="B23" s="2" t="s">
        <v>7</v>
      </c>
      <c r="C23" s="8" t="s">
        <v>42</v>
      </c>
      <c r="D23" s="1" t="s">
        <v>1</v>
      </c>
      <c r="E23" s="2" t="s">
        <v>32</v>
      </c>
      <c r="F23" s="15">
        <f>3531+247.17</f>
        <v>3778.17</v>
      </c>
      <c r="G23" s="15"/>
      <c r="H23" s="15">
        <v>1550</v>
      </c>
      <c r="I23" s="15"/>
      <c r="J23" s="15">
        <v>0</v>
      </c>
      <c r="K23" s="15"/>
      <c r="L23" s="15">
        <f t="shared" si="1"/>
        <v>5328.17</v>
      </c>
      <c r="M23" s="15">
        <v>182.49</v>
      </c>
      <c r="N23" s="15">
        <f t="shared" si="2"/>
        <v>5145.68</v>
      </c>
      <c r="O23" s="15"/>
      <c r="P23" s="15"/>
    </row>
    <row r="24" spans="1:16" ht="30" customHeight="1" x14ac:dyDescent="0.25">
      <c r="A24" s="1" t="e">
        <f t="shared" si="0"/>
        <v>#REF!</v>
      </c>
      <c r="B24" s="2" t="s">
        <v>7</v>
      </c>
      <c r="C24" s="8" t="s">
        <v>10</v>
      </c>
      <c r="D24" s="1" t="s">
        <v>49</v>
      </c>
      <c r="E24" s="2" t="s">
        <v>32</v>
      </c>
      <c r="F24" s="15">
        <f>5697+398.79</f>
        <v>6095.79</v>
      </c>
      <c r="G24" s="15">
        <v>1574.8</v>
      </c>
      <c r="H24" s="15">
        <v>1800</v>
      </c>
      <c r="I24" s="15">
        <f>500</f>
        <v>500</v>
      </c>
      <c r="J24" s="15"/>
      <c r="K24" s="15"/>
      <c r="L24" s="15">
        <f>SUM(F24:K24)</f>
        <v>9970.59</v>
      </c>
      <c r="M24" s="15">
        <f>370.49+340.14</f>
        <v>710.63</v>
      </c>
      <c r="N24" s="15">
        <f t="shared" si="2"/>
        <v>9259.9600000000009</v>
      </c>
      <c r="O24" s="15"/>
      <c r="P24" s="15"/>
    </row>
    <row r="25" spans="1:16" ht="30" customHeight="1" x14ac:dyDescent="0.25">
      <c r="A25" s="1" t="e">
        <f t="shared" si="0"/>
        <v>#REF!</v>
      </c>
      <c r="B25" s="2" t="s">
        <v>7</v>
      </c>
      <c r="C25" s="8" t="s">
        <v>11</v>
      </c>
      <c r="D25" s="1" t="s">
        <v>4</v>
      </c>
      <c r="E25" s="2" t="s">
        <v>32</v>
      </c>
      <c r="F25" s="15">
        <f>7392+517.44</f>
        <v>7909.4400000000005</v>
      </c>
      <c r="G25" s="15">
        <v>3245.95</v>
      </c>
      <c r="H25" s="15">
        <v>2300</v>
      </c>
      <c r="I25" s="15">
        <f>500</f>
        <v>500</v>
      </c>
      <c r="J25" s="15"/>
      <c r="K25" s="15"/>
      <c r="L25" s="15">
        <f t="shared" si="1"/>
        <v>13955.39</v>
      </c>
      <c r="M25" s="15">
        <f>538.81+473.78</f>
        <v>1012.5899999999999</v>
      </c>
      <c r="N25" s="15">
        <f t="shared" si="2"/>
        <v>12942.8</v>
      </c>
      <c r="O25" s="15"/>
      <c r="P25" s="15"/>
    </row>
    <row r="26" spans="1:16" ht="30" customHeight="1" x14ac:dyDescent="0.25">
      <c r="A26" s="1" t="e">
        <f t="shared" si="0"/>
        <v>#REF!</v>
      </c>
      <c r="B26" s="2" t="s">
        <v>7</v>
      </c>
      <c r="C26" s="8" t="s">
        <v>47</v>
      </c>
      <c r="D26" s="1" t="s">
        <v>48</v>
      </c>
      <c r="E26" s="2" t="s">
        <v>32</v>
      </c>
      <c r="F26" s="15">
        <f>6750+472.5</f>
        <v>7222.5</v>
      </c>
      <c r="G26" s="15"/>
      <c r="H26" s="15">
        <v>250</v>
      </c>
      <c r="I26" s="15"/>
      <c r="J26" s="15"/>
      <c r="K26" s="15"/>
      <c r="L26" s="15">
        <f t="shared" si="1"/>
        <v>7472.5</v>
      </c>
      <c r="M26" s="15">
        <f>348.85+172.29</f>
        <v>521.14</v>
      </c>
      <c r="N26" s="15">
        <f t="shared" si="2"/>
        <v>6951.36</v>
      </c>
      <c r="O26" s="15"/>
      <c r="P26" s="15"/>
    </row>
    <row r="27" spans="1:16" ht="30" customHeight="1" x14ac:dyDescent="0.25">
      <c r="A27" s="1">
        <v>15</v>
      </c>
      <c r="B27" s="2" t="s">
        <v>7</v>
      </c>
      <c r="C27" s="8" t="s">
        <v>12</v>
      </c>
      <c r="D27" s="1" t="s">
        <v>5</v>
      </c>
      <c r="E27" s="2" t="s">
        <v>32</v>
      </c>
      <c r="F27" s="15">
        <f>3384.59+236.92</f>
        <v>3621.51</v>
      </c>
      <c r="G27" s="15">
        <v>2568.67</v>
      </c>
      <c r="H27" s="15">
        <v>1550</v>
      </c>
      <c r="I27" s="15"/>
      <c r="J27" s="15"/>
      <c r="K27" s="15"/>
      <c r="L27" s="15">
        <f t="shared" si="1"/>
        <v>7740.18</v>
      </c>
      <c r="M27" s="15">
        <f>298.99+199.36</f>
        <v>498.35</v>
      </c>
      <c r="N27" s="15">
        <f t="shared" si="2"/>
        <v>7241.83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45</v>
      </c>
      <c r="D28" s="1" t="s">
        <v>46</v>
      </c>
      <c r="E28" s="2" t="s">
        <v>32</v>
      </c>
      <c r="F28" s="15">
        <f>3384.59+236.92</f>
        <v>3621.51</v>
      </c>
      <c r="G28" s="15">
        <v>2364.96</v>
      </c>
      <c r="H28" s="15">
        <v>1549</v>
      </c>
      <c r="I28" s="15"/>
      <c r="J28" s="15"/>
      <c r="K28" s="15"/>
      <c r="L28" s="15">
        <f t="shared" si="1"/>
        <v>7535.47</v>
      </c>
      <c r="M28" s="15">
        <f>289.15+251.25</f>
        <v>540.4</v>
      </c>
      <c r="N28" s="15">
        <f t="shared" si="2"/>
        <v>6995.0700000000006</v>
      </c>
      <c r="O28" s="15"/>
      <c r="P28" s="15"/>
    </row>
    <row r="29" spans="1:16" ht="30" customHeight="1" x14ac:dyDescent="0.25">
      <c r="A29" s="1">
        <v>17</v>
      </c>
      <c r="B29" s="2">
        <v>184</v>
      </c>
      <c r="C29" s="8" t="s">
        <v>65</v>
      </c>
      <c r="D29" s="8" t="s">
        <v>13</v>
      </c>
      <c r="E29" s="2" t="s">
        <v>32</v>
      </c>
      <c r="F29" s="15">
        <v>4500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18</v>
      </c>
      <c r="B30" s="2">
        <v>183</v>
      </c>
      <c r="C30" s="8" t="s">
        <v>66</v>
      </c>
      <c r="D30" s="1" t="s">
        <v>67</v>
      </c>
      <c r="E30" s="2" t="s">
        <v>32</v>
      </c>
      <c r="F30" s="15">
        <v>8307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23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23"/>
      <c r="N36" s="4"/>
      <c r="O36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 2024</vt:lpstr>
      <vt:lpstr>MAYO 2024</vt:lpstr>
      <vt:lpstr>JUNIO 2024 </vt:lpstr>
      <vt:lpstr>JULIO 2024 </vt:lpstr>
      <vt:lpstr>AGOSTO 2024 </vt:lpstr>
      <vt:lpstr>SEPTIEMBRE 2024</vt:lpstr>
      <vt:lpstr>OCTUBRE 2024</vt:lpstr>
      <vt:lpstr>NOVIEMBRE 2024</vt:lpstr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Coordinador Financiero</cp:lastModifiedBy>
  <cp:lastPrinted>2024-11-27T16:44:01Z</cp:lastPrinted>
  <dcterms:created xsi:type="dcterms:W3CDTF">2017-02-15T21:48:50Z</dcterms:created>
  <dcterms:modified xsi:type="dcterms:W3CDTF">2025-01-21T16:11:34Z</dcterms:modified>
</cp:coreProperties>
</file>